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autoCompressPictures="0"/>
  <mc:AlternateContent xmlns:mc="http://schemas.openxmlformats.org/markup-compatibility/2006">
    <mc:Choice Requires="x15">
      <x15ac:absPath xmlns:x15ac="http://schemas.microsoft.com/office/spreadsheetml/2010/11/ac" url="C:\Users\shiga-t\Desktop\"/>
    </mc:Choice>
  </mc:AlternateContent>
  <xr:revisionPtr revIDLastSave="0" documentId="13_ncr:1_{F550333D-C2AD-4B4B-9D6F-191822D5A21C}" xr6:coauthVersionLast="36"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28690" yWindow="-110" windowWidth="29020" windowHeight="15700" tabRatio="822"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T8" i="5"/>
  <c r="T9" i="5"/>
  <c r="T11" i="5"/>
  <c r="T12" i="5"/>
  <c r="T13" i="5"/>
  <c r="T14"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V5" i="5"/>
  <c r="V8"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s="1"/>
  <c r="C4"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X8" i="5"/>
  <c r="V9" i="5"/>
  <c r="X9" i="5"/>
  <c r="V11" i="5"/>
  <c r="X11" i="5"/>
  <c r="V12" i="5"/>
  <c r="X12" i="5"/>
  <c r="V13" i="5"/>
  <c r="X13" i="5"/>
  <c r="V14" i="5"/>
  <c r="X14" i="5"/>
  <c r="V15" i="5"/>
  <c r="X15" i="5"/>
  <c r="V16" i="5"/>
  <c r="E16" i="5"/>
  <c r="X16" i="5" s="1"/>
  <c r="V17" i="5"/>
  <c r="E17" i="5"/>
  <c r="X17" i="5" s="1"/>
  <c r="V18" i="5"/>
  <c r="E18" i="5"/>
  <c r="X18" i="5" s="1"/>
  <c r="V19" i="5"/>
  <c r="E19" i="5"/>
  <c r="X19" i="5" s="1"/>
  <c r="V20" i="5"/>
  <c r="E20" i="5"/>
  <c r="X20" i="5" s="1"/>
  <c r="V21" i="5"/>
  <c r="E21" i="5"/>
  <c r="X21" i="5" s="1"/>
  <c r="V22" i="5"/>
  <c r="E22" i="5"/>
  <c r="X22" i="5" s="1"/>
  <c r="V23" i="5"/>
  <c r="E23" i="5"/>
  <c r="X23" i="5" s="1"/>
  <c r="V24" i="5"/>
  <c r="E24" i="5"/>
  <c r="X24" i="5" s="1"/>
  <c r="V25" i="5"/>
  <c r="E25" i="5"/>
  <c r="X25" i="5" s="1"/>
  <c r="V26" i="5"/>
  <c r="E26" i="5"/>
  <c r="X26" i="5" s="1"/>
  <c r="V27" i="5"/>
  <c r="E27" i="5"/>
  <c r="X27" i="5" s="1"/>
  <c r="V28" i="5"/>
  <c r="E28" i="5"/>
  <c r="X28" i="5" s="1"/>
  <c r="V29" i="5"/>
  <c r="E29" i="5"/>
  <c r="X29" i="5" s="1"/>
  <c r="V30" i="5"/>
  <c r="E30" i="5"/>
  <c r="X30" i="5" s="1"/>
  <c r="V31" i="5"/>
  <c r="E31" i="5"/>
  <c r="X31" i="5" s="1"/>
  <c r="V32" i="5"/>
  <c r="E32" i="5"/>
  <c r="X32" i="5" s="1"/>
  <c r="V33" i="5"/>
  <c r="E33" i="5"/>
  <c r="X33" i="5" s="1"/>
  <c r="V34" i="5"/>
  <c r="E34" i="5"/>
  <c r="X34" i="5" s="1"/>
  <c r="V35" i="5"/>
  <c r="E35" i="5"/>
  <c r="X35" i="5" s="1"/>
  <c r="V36" i="5"/>
  <c r="E36" i="5"/>
  <c r="X36" i="5" s="1"/>
  <c r="V37" i="5"/>
  <c r="E37" i="5"/>
  <c r="X37" i="5" s="1"/>
  <c r="V38" i="5"/>
  <c r="E38" i="5"/>
  <c r="X38" i="5" s="1"/>
  <c r="V39" i="5"/>
  <c r="E39" i="5"/>
  <c r="X39" i="5" s="1"/>
  <c r="V40" i="5"/>
  <c r="E40" i="5"/>
  <c r="X40" i="5" s="1"/>
  <c r="V41" i="5"/>
  <c r="E41" i="5"/>
  <c r="X41" i="5" s="1"/>
  <c r="V42" i="5"/>
  <c r="E42" i="5"/>
  <c r="X42" i="5" s="1"/>
  <c r="V43" i="5"/>
  <c r="E43" i="5"/>
  <c r="X43" i="5" s="1"/>
  <c r="V44" i="5"/>
  <c r="E44" i="5"/>
  <c r="X44" i="5" s="1"/>
  <c r="V45" i="5"/>
  <c r="E45" i="5"/>
  <c r="X45" i="5" s="1"/>
  <c r="V46" i="5"/>
  <c r="E46" i="5"/>
  <c r="X46" i="5" s="1"/>
  <c r="V47" i="5"/>
  <c r="E47" i="5"/>
  <c r="X47" i="5" s="1"/>
  <c r="V48" i="5"/>
  <c r="E48" i="5"/>
  <c r="X48" i="5" s="1"/>
  <c r="V49" i="5"/>
  <c r="E49" i="5"/>
  <c r="X49" i="5" s="1"/>
  <c r="V50" i="5"/>
  <c r="E50" i="5"/>
  <c r="X50" i="5" s="1"/>
  <c r="V51" i="5"/>
  <c r="E51" i="5"/>
  <c r="X51" i="5" s="1"/>
  <c r="V52" i="5"/>
  <c r="E52" i="5"/>
  <c r="X52" i="5" s="1"/>
  <c r="V53" i="5"/>
  <c r="E53" i="5"/>
  <c r="X53" i="5" s="1"/>
  <c r="V54" i="5"/>
  <c r="E54" i="5"/>
  <c r="X54" i="5" s="1"/>
  <c r="V55" i="5"/>
  <c r="E55" i="5"/>
  <c r="X55" i="5" s="1"/>
  <c r="V56" i="5"/>
  <c r="E56" i="5"/>
  <c r="X56" i="5" s="1"/>
  <c r="V57" i="5"/>
  <c r="E57" i="5"/>
  <c r="X57" i="5" s="1"/>
  <c r="V58" i="5"/>
  <c r="E58" i="5"/>
  <c r="X58" i="5" s="1"/>
  <c r="V59" i="5"/>
  <c r="E59" i="5"/>
  <c r="X59" i="5" s="1"/>
  <c r="V60" i="5"/>
  <c r="E60" i="5"/>
  <c r="X60" i="5" s="1"/>
  <c r="V61" i="5"/>
  <c r="E61" i="5"/>
  <c r="X61" i="5" s="1"/>
  <c r="V62" i="5"/>
  <c r="E62" i="5"/>
  <c r="V63" i="5"/>
  <c r="E63" i="5"/>
  <c r="X63" i="5" s="1"/>
  <c r="V64" i="5"/>
  <c r="E64" i="5"/>
  <c r="X64" i="5" s="1"/>
  <c r="V65" i="5"/>
  <c r="E65" i="5"/>
  <c r="X65" i="5" s="1"/>
  <c r="V66" i="5"/>
  <c r="E66" i="5"/>
  <c r="X66" i="5" s="1"/>
  <c r="V67" i="5"/>
  <c r="E67" i="5"/>
  <c r="X67" i="5" s="1"/>
  <c r="V68" i="5"/>
  <c r="E68" i="5"/>
  <c r="X68" i="5" s="1"/>
  <c r="V69" i="5"/>
  <c r="E69" i="5"/>
  <c r="X69" i="5" s="1"/>
  <c r="V70" i="5"/>
  <c r="E70" i="5"/>
  <c r="X70" i="5" s="1"/>
  <c r="V71" i="5"/>
  <c r="E71" i="5"/>
  <c r="X71" i="5" s="1"/>
  <c r="V72" i="5"/>
  <c r="E72" i="5"/>
  <c r="X72" i="5" s="1"/>
  <c r="V73" i="5"/>
  <c r="E73" i="5"/>
  <c r="X73" i="5" s="1"/>
  <c r="V74" i="5"/>
  <c r="E74" i="5"/>
  <c r="X74" i="5" s="1"/>
  <c r="V75" i="5"/>
  <c r="E75" i="5"/>
  <c r="X75" i="5" s="1"/>
  <c r="V76" i="5"/>
  <c r="E76" i="5"/>
  <c r="X76" i="5" s="1"/>
  <c r="V77" i="5"/>
  <c r="E77" i="5"/>
  <c r="X77" i="5" s="1"/>
  <c r="V78" i="5"/>
  <c r="E78" i="5"/>
  <c r="X78" i="5" s="1"/>
  <c r="V79" i="5"/>
  <c r="E79" i="5"/>
  <c r="X79" i="5" s="1"/>
  <c r="V80" i="5"/>
  <c r="E80" i="5"/>
  <c r="X80" i="5" s="1"/>
  <c r="V81" i="5"/>
  <c r="E81" i="5"/>
  <c r="X81" i="5" s="1"/>
  <c r="V82" i="5"/>
  <c r="E82" i="5"/>
  <c r="X82" i="5" s="1"/>
  <c r="V83" i="5"/>
  <c r="E83" i="5"/>
  <c r="X83" i="5" s="1"/>
  <c r="V84" i="5"/>
  <c r="E84" i="5"/>
  <c r="X84" i="5" s="1"/>
  <c r="V85" i="5"/>
  <c r="E85" i="5"/>
  <c r="X85" i="5" s="1"/>
  <c r="V86" i="5"/>
  <c r="E86" i="5"/>
  <c r="X86" i="5" s="1"/>
  <c r="V87" i="5"/>
  <c r="E87" i="5"/>
  <c r="X87" i="5" s="1"/>
  <c r="V88" i="5"/>
  <c r="E88" i="5"/>
  <c r="X88" i="5" s="1"/>
  <c r="V89" i="5"/>
  <c r="E89" i="5"/>
  <c r="X89" i="5" s="1"/>
  <c r="V90" i="5"/>
  <c r="E90" i="5"/>
  <c r="X90" i="5" s="1"/>
  <c r="V91" i="5"/>
  <c r="E91" i="5"/>
  <c r="X91" i="5" s="1"/>
  <c r="V92" i="5"/>
  <c r="E92" i="5"/>
  <c r="X92" i="5" s="1"/>
  <c r="V93" i="5"/>
  <c r="E93" i="5"/>
  <c r="X93" i="5" s="1"/>
  <c r="V94" i="5"/>
  <c r="E94" i="5"/>
  <c r="X94" i="5" s="1"/>
  <c r="V95" i="5"/>
  <c r="E95" i="5"/>
  <c r="X95" i="5" s="1"/>
  <c r="V96" i="5"/>
  <c r="E96" i="5"/>
  <c r="X96" i="5" s="1"/>
  <c r="V97" i="5"/>
  <c r="E97" i="5"/>
  <c r="X97" i="5" s="1"/>
  <c r="V98" i="5"/>
  <c r="E98" i="5"/>
  <c r="X98" i="5" s="1"/>
  <c r="V99" i="5"/>
  <c r="E99" i="5"/>
  <c r="X99" i="5" s="1"/>
  <c r="V100" i="5"/>
  <c r="E100" i="5"/>
  <c r="X100" i="5" s="1"/>
  <c r="V101" i="5"/>
  <c r="E101" i="5"/>
  <c r="X101" i="5" s="1"/>
  <c r="V102" i="5"/>
  <c r="E102" i="5"/>
  <c r="X102" i="5" s="1"/>
  <c r="V103" i="5"/>
  <c r="E103" i="5"/>
  <c r="X103" i="5" s="1"/>
  <c r="V104" i="5"/>
  <c r="E104" i="5"/>
  <c r="X104" i="5" s="1"/>
  <c r="V105" i="5"/>
  <c r="E105" i="5"/>
  <c r="X105" i="5" s="1"/>
  <c r="V106" i="5"/>
  <c r="E106" i="5"/>
  <c r="X106" i="5" s="1"/>
  <c r="V107" i="5"/>
  <c r="E107" i="5"/>
  <c r="X107" i="5" s="1"/>
  <c r="V108" i="5"/>
  <c r="E108" i="5"/>
  <c r="X108" i="5" s="1"/>
  <c r="V109" i="5"/>
  <c r="E109" i="5"/>
  <c r="X109" i="5" s="1"/>
  <c r="V110" i="5"/>
  <c r="E110" i="5"/>
  <c r="X110" i="5" s="1"/>
  <c r="V111" i="5"/>
  <c r="E111" i="5"/>
  <c r="X111" i="5" s="1"/>
  <c r="V112" i="5"/>
  <c r="E112" i="5"/>
  <c r="X112" i="5" s="1"/>
  <c r="V113" i="5"/>
  <c r="E113" i="5"/>
  <c r="X113" i="5" s="1"/>
  <c r="V114" i="5"/>
  <c r="E114" i="5"/>
  <c r="X114" i="5" s="1"/>
  <c r="V115" i="5"/>
  <c r="E115" i="5"/>
  <c r="X115" i="5" s="1"/>
  <c r="V116" i="5"/>
  <c r="E116" i="5"/>
  <c r="X116" i="5" s="1"/>
  <c r="V117" i="5"/>
  <c r="E117" i="5"/>
  <c r="X117" i="5" s="1"/>
  <c r="V118" i="5"/>
  <c r="E118" i="5"/>
  <c r="V119" i="5"/>
  <c r="E119" i="5"/>
  <c r="X119" i="5" s="1"/>
  <c r="V120" i="5"/>
  <c r="E120" i="5"/>
  <c r="X120" i="5" s="1"/>
  <c r="V121" i="5"/>
  <c r="E121" i="5"/>
  <c r="X121" i="5" s="1"/>
  <c r="V122" i="5"/>
  <c r="E122" i="5"/>
  <c r="X122" i="5" s="1"/>
  <c r="V123" i="5"/>
  <c r="E123" i="5"/>
  <c r="X123" i="5" s="1"/>
  <c r="V124" i="5"/>
  <c r="E124" i="5"/>
  <c r="X124" i="5" s="1"/>
  <c r="V125" i="5"/>
  <c r="E125" i="5"/>
  <c r="X125" i="5" s="1"/>
  <c r="V126" i="5"/>
  <c r="E126" i="5"/>
  <c r="X126" i="5" s="1"/>
  <c r="V127" i="5"/>
  <c r="E127" i="5"/>
  <c r="X127" i="5" s="1"/>
  <c r="V128" i="5"/>
  <c r="E128" i="5"/>
  <c r="X128" i="5" s="1"/>
  <c r="V129" i="5"/>
  <c r="E129" i="5"/>
  <c r="X129" i="5" s="1"/>
  <c r="V130" i="5"/>
  <c r="E130" i="5"/>
  <c r="V131" i="5"/>
  <c r="E131" i="5"/>
  <c r="X131" i="5" s="1"/>
  <c r="V132" i="5"/>
  <c r="E132" i="5"/>
  <c r="X132" i="5" s="1"/>
  <c r="V133" i="5"/>
  <c r="E133" i="5"/>
  <c r="X133" i="5" s="1"/>
  <c r="V134" i="5"/>
  <c r="E134" i="5"/>
  <c r="X134" i="5" s="1"/>
  <c r="V135" i="5"/>
  <c r="E135" i="5"/>
  <c r="X135" i="5" s="1"/>
  <c r="V136" i="5"/>
  <c r="E136" i="5"/>
  <c r="X136" i="5" s="1"/>
  <c r="V137" i="5"/>
  <c r="E137" i="5"/>
  <c r="X137" i="5" s="1"/>
  <c r="V138" i="5"/>
  <c r="E138" i="5"/>
  <c r="X138" i="5" s="1"/>
  <c r="V139" i="5"/>
  <c r="E139" i="5"/>
  <c r="X139" i="5" s="1"/>
  <c r="V140" i="5"/>
  <c r="E140" i="5"/>
  <c r="X140" i="5" s="1"/>
  <c r="V141" i="5"/>
  <c r="E141" i="5"/>
  <c r="X141" i="5" s="1"/>
  <c r="V142" i="5"/>
  <c r="E142" i="5"/>
  <c r="X142" i="5" s="1"/>
  <c r="V143" i="5"/>
  <c r="E143" i="5"/>
  <c r="X143" i="5" s="1"/>
  <c r="V144" i="5"/>
  <c r="E144" i="5"/>
  <c r="X144" i="5" s="1"/>
  <c r="V145" i="5"/>
  <c r="E145" i="5"/>
  <c r="X145" i="5" s="1"/>
  <c r="V146" i="5"/>
  <c r="E146" i="5"/>
  <c r="X146" i="5" s="1"/>
  <c r="V147" i="5"/>
  <c r="E147" i="5"/>
  <c r="X147" i="5" s="1"/>
  <c r="V148" i="5"/>
  <c r="E148" i="5"/>
  <c r="X148" i="5" s="1"/>
  <c r="V149" i="5"/>
  <c r="E149" i="5"/>
  <c r="X149" i="5" s="1"/>
  <c r="V150" i="5"/>
  <c r="E150" i="5"/>
  <c r="X150" i="5" s="1"/>
  <c r="V151" i="5"/>
  <c r="E151" i="5"/>
  <c r="X151" i="5" s="1"/>
  <c r="V152" i="5"/>
  <c r="E152" i="5"/>
  <c r="X152" i="5" s="1"/>
  <c r="V153" i="5"/>
  <c r="E153" i="5"/>
  <c r="X153" i="5" s="1"/>
  <c r="V154" i="5"/>
  <c r="E154" i="5"/>
  <c r="X154" i="5" s="1"/>
  <c r="V155" i="5"/>
  <c r="E155" i="5"/>
  <c r="X155" i="5" s="1"/>
  <c r="V156" i="5"/>
  <c r="E156" i="5"/>
  <c r="X156" i="5" s="1"/>
  <c r="V157" i="5"/>
  <c r="E157" i="5"/>
  <c r="X157" i="5" s="1"/>
  <c r="V158" i="5"/>
  <c r="E158" i="5"/>
  <c r="X158" i="5" s="1"/>
  <c r="V159" i="5"/>
  <c r="E159" i="5"/>
  <c r="X159" i="5" s="1"/>
  <c r="V160" i="5"/>
  <c r="E160" i="5"/>
  <c r="V161" i="5"/>
  <c r="E161" i="5"/>
  <c r="X161" i="5" s="1"/>
  <c r="V162" i="5"/>
  <c r="E162" i="5"/>
  <c r="X162" i="5" s="1"/>
  <c r="V163" i="5"/>
  <c r="E163" i="5"/>
  <c r="X163" i="5" s="1"/>
  <c r="V164" i="5"/>
  <c r="E164" i="5"/>
  <c r="X164" i="5" s="1"/>
  <c r="V165" i="5"/>
  <c r="E165" i="5"/>
  <c r="X165" i="5" s="1"/>
  <c r="V166" i="5"/>
  <c r="E166" i="5"/>
  <c r="X166" i="5" s="1"/>
  <c r="V167" i="5"/>
  <c r="E167" i="5"/>
  <c r="X167" i="5" s="1"/>
  <c r="V168" i="5"/>
  <c r="E168" i="5"/>
  <c r="X168" i="5" s="1"/>
  <c r="V169" i="5"/>
  <c r="E169" i="5"/>
  <c r="X169" i="5" s="1"/>
  <c r="V170" i="5"/>
  <c r="E170" i="5"/>
  <c r="X170" i="5" s="1"/>
  <c r="V171" i="5"/>
  <c r="E171" i="5"/>
  <c r="X171" i="5" s="1"/>
  <c r="V172" i="5"/>
  <c r="E172" i="5"/>
  <c r="X172" i="5" s="1"/>
  <c r="V173" i="5"/>
  <c r="E173" i="5"/>
  <c r="X173" i="5" s="1"/>
  <c r="V174" i="5"/>
  <c r="E174" i="5"/>
  <c r="X174" i="5" s="1"/>
  <c r="V175" i="5"/>
  <c r="E175" i="5"/>
  <c r="X175" i="5" s="1"/>
  <c r="V176" i="5"/>
  <c r="E176" i="5"/>
  <c r="X176" i="5" s="1"/>
  <c r="V177" i="5"/>
  <c r="E177" i="5"/>
  <c r="X177" i="5" s="1"/>
  <c r="V178" i="5"/>
  <c r="E178" i="5"/>
  <c r="X178" i="5" s="1"/>
  <c r="V179" i="5"/>
  <c r="E179" i="5"/>
  <c r="X179" i="5" s="1"/>
  <c r="V180" i="5"/>
  <c r="E180" i="5"/>
  <c r="X180" i="5" s="1"/>
  <c r="V181" i="5"/>
  <c r="E181" i="5"/>
  <c r="X181" i="5" s="1"/>
  <c r="V182" i="5"/>
  <c r="E182" i="5"/>
  <c r="X182" i="5" s="1"/>
  <c r="V183" i="5"/>
  <c r="E183" i="5"/>
  <c r="X183" i="5" s="1"/>
  <c r="V184" i="5"/>
  <c r="E184" i="5"/>
  <c r="X184" i="5" s="1"/>
  <c r="V185" i="5"/>
  <c r="E185" i="5"/>
  <c r="X185" i="5" s="1"/>
  <c r="V186" i="5"/>
  <c r="E186" i="5"/>
  <c r="X186" i="5" s="1"/>
  <c r="V187" i="5"/>
  <c r="E187" i="5"/>
  <c r="X187" i="5" s="1"/>
  <c r="V188" i="5"/>
  <c r="E188" i="5"/>
  <c r="X188" i="5" s="1"/>
  <c r="V189" i="5"/>
  <c r="E189" i="5"/>
  <c r="X189" i="5" s="1"/>
  <c r="V190" i="5"/>
  <c r="E190" i="5"/>
  <c r="X190" i="5" s="1"/>
  <c r="V191" i="5"/>
  <c r="E191" i="5"/>
  <c r="X191" i="5" s="1"/>
  <c r="V192" i="5"/>
  <c r="E192" i="5"/>
  <c r="X192" i="5" s="1"/>
  <c r="V193" i="5"/>
  <c r="E193" i="5"/>
  <c r="X193" i="5" s="1"/>
  <c r="V194" i="5"/>
  <c r="E194" i="5"/>
  <c r="X194" i="5" s="1"/>
  <c r="V195" i="5"/>
  <c r="E195" i="5"/>
  <c r="X195" i="5" s="1"/>
  <c r="V196" i="5"/>
  <c r="E196" i="5"/>
  <c r="X196" i="5" s="1"/>
  <c r="V197" i="5"/>
  <c r="E197" i="5"/>
  <c r="X197" i="5" s="1"/>
  <c r="V198" i="5"/>
  <c r="E198" i="5"/>
  <c r="X198" i="5" s="1"/>
  <c r="V199" i="5"/>
  <c r="E199" i="5"/>
  <c r="X199" i="5" s="1"/>
  <c r="V200" i="5"/>
  <c r="E200" i="5"/>
  <c r="X200" i="5" s="1"/>
  <c r="V201" i="5"/>
  <c r="E201" i="5"/>
  <c r="X201" i="5" s="1"/>
  <c r="V202" i="5"/>
  <c r="E202" i="5"/>
  <c r="X202" i="5" s="1"/>
  <c r="V203" i="5"/>
  <c r="E203" i="5"/>
  <c r="X203" i="5" s="1"/>
  <c r="V204" i="5"/>
  <c r="E204" i="5"/>
  <c r="X204" i="5" s="1"/>
  <c r="V205" i="5"/>
  <c r="E205" i="5"/>
  <c r="X205" i="5" s="1"/>
  <c r="V206" i="5"/>
  <c r="E206" i="5"/>
  <c r="X206" i="5" s="1"/>
  <c r="V207" i="5"/>
  <c r="E207" i="5"/>
  <c r="X207" i="5" s="1"/>
  <c r="V208" i="5"/>
  <c r="E208" i="5"/>
  <c r="X208" i="5" s="1"/>
  <c r="V209" i="5"/>
  <c r="E209" i="5"/>
  <c r="X209" i="5" s="1"/>
  <c r="V210" i="5"/>
  <c r="E210" i="5"/>
  <c r="X210" i="5" s="1"/>
  <c r="V211" i="5"/>
  <c r="E211" i="5"/>
  <c r="X211" i="5" s="1"/>
  <c r="V212" i="5"/>
  <c r="E212" i="5"/>
  <c r="X212" i="5" s="1"/>
  <c r="V213" i="5"/>
  <c r="E213" i="5"/>
  <c r="X213" i="5" s="1"/>
  <c r="V214" i="5"/>
  <c r="E214" i="5"/>
  <c r="X214" i="5" s="1"/>
  <c r="V215" i="5"/>
  <c r="E215" i="5"/>
  <c r="X215" i="5" s="1"/>
  <c r="V216" i="5"/>
  <c r="E216" i="5"/>
  <c r="X216" i="5" s="1"/>
  <c r="V217" i="5"/>
  <c r="E217" i="5"/>
  <c r="X217" i="5" s="1"/>
  <c r="V218" i="5"/>
  <c r="E218" i="5"/>
  <c r="X218" i="5" s="1"/>
  <c r="V219" i="5"/>
  <c r="E219" i="5"/>
  <c r="X219" i="5" s="1"/>
  <c r="V220" i="5"/>
  <c r="E220" i="5"/>
  <c r="X220" i="5" s="1"/>
  <c r="V221" i="5"/>
  <c r="E221" i="5"/>
  <c r="X221" i="5" s="1"/>
  <c r="V222" i="5"/>
  <c r="E222" i="5"/>
  <c r="X222" i="5" s="1"/>
  <c r="V223" i="5"/>
  <c r="E223" i="5"/>
  <c r="X223" i="5" s="1"/>
  <c r="V224" i="5"/>
  <c r="E224" i="5"/>
  <c r="X224" i="5" s="1"/>
  <c r="V225" i="5"/>
  <c r="E225" i="5"/>
  <c r="X225" i="5" s="1"/>
  <c r="V226" i="5"/>
  <c r="E226" i="5"/>
  <c r="X226" i="5" s="1"/>
  <c r="V227" i="5"/>
  <c r="E227" i="5"/>
  <c r="X227" i="5" s="1"/>
  <c r="V228" i="5"/>
  <c r="E228" i="5"/>
  <c r="X228" i="5" s="1"/>
  <c r="V229" i="5"/>
  <c r="E229" i="5"/>
  <c r="X229" i="5" s="1"/>
  <c r="V230" i="5"/>
  <c r="E230" i="5"/>
  <c r="X230" i="5" s="1"/>
  <c r="V231" i="5"/>
  <c r="E231" i="5"/>
  <c r="X231" i="5" s="1"/>
  <c r="V232" i="5"/>
  <c r="E232" i="5"/>
  <c r="X232" i="5" s="1"/>
  <c r="V233" i="5"/>
  <c r="E233" i="5"/>
  <c r="X233" i="5" s="1"/>
  <c r="V234" i="5"/>
  <c r="E234" i="5"/>
  <c r="X234" i="5" s="1"/>
  <c r="V235" i="5"/>
  <c r="E235" i="5"/>
  <c r="X235" i="5" s="1"/>
  <c r="V236" i="5"/>
  <c r="E236" i="5"/>
  <c r="X236" i="5" s="1"/>
  <c r="V237" i="5"/>
  <c r="E237" i="5"/>
  <c r="X237" i="5" s="1"/>
  <c r="V238" i="5"/>
  <c r="E238" i="5"/>
  <c r="X238" i="5" s="1"/>
  <c r="V239" i="5"/>
  <c r="E239" i="5"/>
  <c r="X239" i="5" s="1"/>
  <c r="V240" i="5"/>
  <c r="E240" i="5"/>
  <c r="X240" i="5" s="1"/>
  <c r="V241" i="5"/>
  <c r="E241" i="5"/>
  <c r="X241" i="5" s="1"/>
  <c r="V242" i="5"/>
  <c r="E242" i="5"/>
  <c r="X242" i="5" s="1"/>
  <c r="V243" i="5"/>
  <c r="E243" i="5"/>
  <c r="X243" i="5" s="1"/>
  <c r="V244" i="5"/>
  <c r="E244" i="5"/>
  <c r="V245" i="5"/>
  <c r="E245" i="5"/>
  <c r="X245" i="5" s="1"/>
  <c r="V246" i="5"/>
  <c r="E246" i="5"/>
  <c r="X246" i="5" s="1"/>
  <c r="V247" i="5"/>
  <c r="E247" i="5"/>
  <c r="X247" i="5" s="1"/>
  <c r="V248" i="5"/>
  <c r="E248" i="5"/>
  <c r="X248" i="5" s="1"/>
  <c r="V249" i="5"/>
  <c r="E249" i="5"/>
  <c r="X249" i="5" s="1"/>
  <c r="V250" i="5"/>
  <c r="E250" i="5"/>
  <c r="X250" i="5" s="1"/>
  <c r="V251" i="5"/>
  <c r="E251" i="5"/>
  <c r="X251" i="5" s="1"/>
  <c r="V252" i="5"/>
  <c r="E252" i="5"/>
  <c r="X252" i="5" s="1"/>
  <c r="V253" i="5"/>
  <c r="E253" i="5"/>
  <c r="X253" i="5" s="1"/>
  <c r="V254" i="5"/>
  <c r="E254" i="5"/>
  <c r="X254" i="5" s="1"/>
  <c r="V255" i="5"/>
  <c r="E255" i="5"/>
  <c r="X255" i="5" s="1"/>
  <c r="V256" i="5"/>
  <c r="E256" i="5"/>
  <c r="X256" i="5" s="1"/>
  <c r="V257" i="5"/>
  <c r="E257" i="5"/>
  <c r="X257" i="5" s="1"/>
  <c r="V258" i="5"/>
  <c r="E258" i="5"/>
  <c r="X258" i="5" s="1"/>
  <c r="V259" i="5"/>
  <c r="E259" i="5"/>
  <c r="X259" i="5" s="1"/>
  <c r="V260" i="5"/>
  <c r="E260" i="5"/>
  <c r="X260" i="5" s="1"/>
  <c r="V261" i="5"/>
  <c r="E261" i="5"/>
  <c r="X261" i="5" s="1"/>
  <c r="V262" i="5"/>
  <c r="E262" i="5"/>
  <c r="X262" i="5" s="1"/>
  <c r="V263" i="5"/>
  <c r="E263" i="5"/>
  <c r="X263" i="5" s="1"/>
  <c r="V264" i="5"/>
  <c r="E264" i="5"/>
  <c r="X264" i="5" s="1"/>
  <c r="V265" i="5"/>
  <c r="E265" i="5"/>
  <c r="X265" i="5" s="1"/>
  <c r="V266" i="5"/>
  <c r="E266" i="5"/>
  <c r="X266" i="5" s="1"/>
  <c r="V267" i="5"/>
  <c r="E267" i="5"/>
  <c r="X267" i="5" s="1"/>
  <c r="V268" i="5"/>
  <c r="E268" i="5"/>
  <c r="X268" i="5" s="1"/>
  <c r="V269" i="5"/>
  <c r="E269" i="5"/>
  <c r="X269" i="5" s="1"/>
  <c r="V270" i="5"/>
  <c r="E270" i="5"/>
  <c r="X270" i="5" s="1"/>
  <c r="V271" i="5"/>
  <c r="E271" i="5"/>
  <c r="X271" i="5" s="1"/>
  <c r="V272" i="5"/>
  <c r="E272" i="5"/>
  <c r="X272" i="5" s="1"/>
  <c r="V273" i="5"/>
  <c r="E273" i="5"/>
  <c r="X273" i="5" s="1"/>
  <c r="V274" i="5"/>
  <c r="E274" i="5"/>
  <c r="X274" i="5" s="1"/>
  <c r="V275" i="5"/>
  <c r="E275" i="5"/>
  <c r="X275" i="5" s="1"/>
  <c r="V276" i="5"/>
  <c r="E276" i="5"/>
  <c r="X276" i="5" s="1"/>
  <c r="V277" i="5"/>
  <c r="E277" i="5"/>
  <c r="X277" i="5" s="1"/>
  <c r="V278" i="5"/>
  <c r="E278" i="5"/>
  <c r="X278" i="5" s="1"/>
  <c r="V279" i="5"/>
  <c r="E279" i="5"/>
  <c r="X279" i="5" s="1"/>
  <c r="V280" i="5"/>
  <c r="E280" i="5"/>
  <c r="X280" i="5" s="1"/>
  <c r="V281" i="5"/>
  <c r="E281" i="5"/>
  <c r="X281" i="5" s="1"/>
  <c r="V282" i="5"/>
  <c r="E282" i="5"/>
  <c r="X282" i="5" s="1"/>
  <c r="V283" i="5"/>
  <c r="E283" i="5"/>
  <c r="X283" i="5" s="1"/>
  <c r="V284" i="5"/>
  <c r="E284" i="5"/>
  <c r="X284" i="5" s="1"/>
  <c r="V285" i="5"/>
  <c r="E285" i="5"/>
  <c r="X285" i="5" s="1"/>
  <c r="V286" i="5"/>
  <c r="E286" i="5"/>
  <c r="X286" i="5" s="1"/>
  <c r="V287" i="5"/>
  <c r="E287" i="5"/>
  <c r="X287" i="5" s="1"/>
  <c r="V288" i="5"/>
  <c r="E288" i="5"/>
  <c r="X288" i="5" s="1"/>
  <c r="V289" i="5"/>
  <c r="E289" i="5"/>
  <c r="X289" i="5" s="1"/>
  <c r="V290" i="5"/>
  <c r="E290" i="5"/>
  <c r="X290" i="5" s="1"/>
  <c r="V291" i="5"/>
  <c r="E291" i="5"/>
  <c r="X291" i="5" s="1"/>
  <c r="V292" i="5"/>
  <c r="E292" i="5"/>
  <c r="X292" i="5" s="1"/>
  <c r="V293" i="5"/>
  <c r="E293" i="5"/>
  <c r="X293" i="5" s="1"/>
  <c r="V294" i="5"/>
  <c r="E294" i="5"/>
  <c r="X294" i="5" s="1"/>
  <c r="V295" i="5"/>
  <c r="E295" i="5"/>
  <c r="X295" i="5" s="1"/>
  <c r="V296" i="5"/>
  <c r="E296" i="5"/>
  <c r="X296" i="5" s="1"/>
  <c r="V297" i="5"/>
  <c r="E297" i="5"/>
  <c r="X297" i="5" s="1"/>
  <c r="V298" i="5"/>
  <c r="E298" i="5"/>
  <c r="X298" i="5" s="1"/>
  <c r="V299" i="5"/>
  <c r="E299" i="5"/>
  <c r="X299" i="5" s="1"/>
  <c r="V300" i="5"/>
  <c r="E300" i="5"/>
  <c r="X300" i="5" s="1"/>
  <c r="V301" i="5"/>
  <c r="E301" i="5"/>
  <c r="X301" i="5" s="1"/>
  <c r="V302" i="5"/>
  <c r="E302" i="5"/>
  <c r="X302" i="5" s="1"/>
  <c r="V303" i="5"/>
  <c r="E303" i="5"/>
  <c r="X303" i="5" s="1"/>
  <c r="V304" i="5"/>
  <c r="E304" i="5"/>
  <c r="X304" i="5" s="1"/>
  <c r="V305" i="5"/>
  <c r="E305" i="5"/>
  <c r="X305" i="5" s="1"/>
  <c r="V306" i="5"/>
  <c r="E306" i="5"/>
  <c r="X306" i="5" s="1"/>
  <c r="V307" i="5"/>
  <c r="E307" i="5"/>
  <c r="X307" i="5" s="1"/>
  <c r="V308" i="5"/>
  <c r="E308" i="5"/>
  <c r="X308" i="5" s="1"/>
  <c r="V309" i="5"/>
  <c r="E309" i="5"/>
  <c r="X309" i="5" s="1"/>
  <c r="V310" i="5"/>
  <c r="E310" i="5"/>
  <c r="X310" i="5" s="1"/>
  <c r="V311" i="5"/>
  <c r="E311" i="5"/>
  <c r="X311" i="5" s="1"/>
  <c r="V312" i="5"/>
  <c r="E312" i="5"/>
  <c r="X312" i="5" s="1"/>
  <c r="V313" i="5"/>
  <c r="E313" i="5"/>
  <c r="X313" i="5" s="1"/>
  <c r="V314" i="5"/>
  <c r="E314" i="5"/>
  <c r="X314" i="5" s="1"/>
  <c r="V315" i="5"/>
  <c r="E315" i="5"/>
  <c r="X315" i="5" s="1"/>
  <c r="V316" i="5"/>
  <c r="E316" i="5"/>
  <c r="X316" i="5" s="1"/>
  <c r="V317" i="5"/>
  <c r="E317" i="5"/>
  <c r="X317" i="5" s="1"/>
  <c r="V318" i="5"/>
  <c r="E318" i="5"/>
  <c r="X318" i="5" s="1"/>
  <c r="V319" i="5"/>
  <c r="E319" i="5"/>
  <c r="X319" i="5" s="1"/>
  <c r="V320" i="5"/>
  <c r="E320" i="5"/>
  <c r="X320" i="5" s="1"/>
  <c r="V321" i="5"/>
  <c r="E321" i="5"/>
  <c r="X321" i="5" s="1"/>
  <c r="V322" i="5"/>
  <c r="E322" i="5"/>
  <c r="X322" i="5" s="1"/>
  <c r="V323" i="5"/>
  <c r="E323" i="5"/>
  <c r="X323" i="5" s="1"/>
  <c r="V324" i="5"/>
  <c r="E324" i="5"/>
  <c r="X324" i="5" s="1"/>
  <c r="V325" i="5"/>
  <c r="E325" i="5"/>
  <c r="X325" i="5" s="1"/>
  <c r="V326" i="5"/>
  <c r="E326" i="5"/>
  <c r="X326" i="5" s="1"/>
  <c r="V327" i="5"/>
  <c r="E327" i="5"/>
  <c r="X327" i="5" s="1"/>
  <c r="V328" i="5"/>
  <c r="E328" i="5"/>
  <c r="X328" i="5" s="1"/>
  <c r="V329" i="5"/>
  <c r="E329" i="5"/>
  <c r="X329" i="5" s="1"/>
  <c r="V330" i="5"/>
  <c r="E330" i="5"/>
  <c r="X330" i="5" s="1"/>
  <c r="V331" i="5"/>
  <c r="E331" i="5"/>
  <c r="X331" i="5" s="1"/>
  <c r="V332" i="5"/>
  <c r="E332" i="5"/>
  <c r="X332" i="5" s="1"/>
  <c r="V333" i="5"/>
  <c r="E333" i="5"/>
  <c r="X333" i="5" s="1"/>
  <c r="V334" i="5"/>
  <c r="E334" i="5"/>
  <c r="X334" i="5" s="1"/>
  <c r="V335" i="5"/>
  <c r="E335" i="5"/>
  <c r="X335" i="5" s="1"/>
  <c r="V336" i="5"/>
  <c r="E336" i="5"/>
  <c r="X336" i="5" s="1"/>
  <c r="V337" i="5"/>
  <c r="E337" i="5"/>
  <c r="X337" i="5" s="1"/>
  <c r="V338" i="5"/>
  <c r="E338" i="5"/>
  <c r="X338" i="5" s="1"/>
  <c r="V339" i="5"/>
  <c r="E339" i="5"/>
  <c r="X339" i="5" s="1"/>
  <c r="V340" i="5"/>
  <c r="E340" i="5"/>
  <c r="X340" i="5" s="1"/>
  <c r="V341" i="5"/>
  <c r="E341" i="5"/>
  <c r="X341" i="5" s="1"/>
  <c r="V342" i="5"/>
  <c r="E342" i="5"/>
  <c r="X342" i="5" s="1"/>
  <c r="V343" i="5"/>
  <c r="E343" i="5"/>
  <c r="X343" i="5" s="1"/>
  <c r="V344" i="5"/>
  <c r="E344" i="5"/>
  <c r="X344" i="5" s="1"/>
  <c r="V345" i="5"/>
  <c r="E345" i="5"/>
  <c r="X345" i="5" s="1"/>
  <c r="V346" i="5"/>
  <c r="E346" i="5"/>
  <c r="X346" i="5" s="1"/>
  <c r="V347" i="5"/>
  <c r="E347" i="5"/>
  <c r="X347" i="5" s="1"/>
  <c r="V348" i="5"/>
  <c r="E348" i="5"/>
  <c r="X348" i="5" s="1"/>
  <c r="V349" i="5"/>
  <c r="E349" i="5"/>
  <c r="X349" i="5" s="1"/>
  <c r="V350" i="5"/>
  <c r="E350" i="5"/>
  <c r="X350" i="5" s="1"/>
  <c r="V351" i="5"/>
  <c r="E351" i="5"/>
  <c r="X351" i="5" s="1"/>
  <c r="V352" i="5"/>
  <c r="E352" i="5"/>
  <c r="X352" i="5" s="1"/>
  <c r="V353" i="5"/>
  <c r="E353" i="5"/>
  <c r="X353" i="5" s="1"/>
  <c r="V354" i="5"/>
  <c r="E354" i="5"/>
  <c r="X354" i="5" s="1"/>
  <c r="V355" i="5"/>
  <c r="E355" i="5"/>
  <c r="X355" i="5" s="1"/>
  <c r="V356" i="5"/>
  <c r="E356" i="5"/>
  <c r="X356" i="5" s="1"/>
  <c r="V357" i="5"/>
  <c r="E357" i="5"/>
  <c r="X357" i="5" s="1"/>
  <c r="V358" i="5"/>
  <c r="E358" i="5"/>
  <c r="X358" i="5" s="1"/>
  <c r="V359" i="5"/>
  <c r="E359" i="5"/>
  <c r="X359" i="5" s="1"/>
  <c r="V360" i="5"/>
  <c r="E360" i="5"/>
  <c r="X360" i="5" s="1"/>
  <c r="V361" i="5"/>
  <c r="E361" i="5"/>
  <c r="X361" i="5" s="1"/>
  <c r="V362" i="5"/>
  <c r="E362" i="5"/>
  <c r="X362" i="5" s="1"/>
  <c r="V363" i="5"/>
  <c r="E363" i="5"/>
  <c r="X363" i="5" s="1"/>
  <c r="V364" i="5"/>
  <c r="E364" i="5"/>
  <c r="X364" i="5" s="1"/>
  <c r="V365" i="5"/>
  <c r="E365" i="5"/>
  <c r="X365" i="5" s="1"/>
  <c r="V366" i="5"/>
  <c r="E366" i="5"/>
  <c r="X366" i="5" s="1"/>
  <c r="V367" i="5"/>
  <c r="E367" i="5"/>
  <c r="X367" i="5" s="1"/>
  <c r="V368" i="5"/>
  <c r="E368" i="5"/>
  <c r="X368" i="5" s="1"/>
  <c r="V369" i="5"/>
  <c r="E369" i="5"/>
  <c r="X369" i="5" s="1"/>
  <c r="V370" i="5"/>
  <c r="E370" i="5"/>
  <c r="X370" i="5" s="1"/>
  <c r="V371" i="5"/>
  <c r="E371" i="5"/>
  <c r="X371" i="5" s="1"/>
  <c r="V372" i="5"/>
  <c r="E372" i="5"/>
  <c r="X372" i="5" s="1"/>
  <c r="V373" i="5"/>
  <c r="E373" i="5"/>
  <c r="X373" i="5" s="1"/>
  <c r="V374" i="5"/>
  <c r="E374" i="5"/>
  <c r="X374" i="5" s="1"/>
  <c r="V375" i="5"/>
  <c r="E375" i="5"/>
  <c r="X375" i="5" s="1"/>
  <c r="V376" i="5"/>
  <c r="E376" i="5"/>
  <c r="X376" i="5" s="1"/>
  <c r="V377" i="5"/>
  <c r="E377" i="5"/>
  <c r="X377" i="5" s="1"/>
  <c r="V378" i="5"/>
  <c r="E378" i="5"/>
  <c r="X378" i="5" s="1"/>
  <c r="V379" i="5"/>
  <c r="E379" i="5"/>
  <c r="X379" i="5" s="1"/>
  <c r="V380" i="5"/>
  <c r="E380" i="5"/>
  <c r="X380" i="5" s="1"/>
  <c r="V381" i="5"/>
  <c r="E381" i="5"/>
  <c r="X381" i="5" s="1"/>
  <c r="V382" i="5"/>
  <c r="E382" i="5"/>
  <c r="X382" i="5" s="1"/>
  <c r="V383" i="5"/>
  <c r="E383" i="5"/>
  <c r="X383" i="5" s="1"/>
  <c r="V384" i="5"/>
  <c r="E384" i="5"/>
  <c r="X384" i="5" s="1"/>
  <c r="V385" i="5"/>
  <c r="E385" i="5"/>
  <c r="X385" i="5" s="1"/>
  <c r="V386" i="5"/>
  <c r="E386" i="5"/>
  <c r="X386" i="5" s="1"/>
  <c r="V387" i="5"/>
  <c r="E387" i="5"/>
  <c r="X387" i="5" s="1"/>
  <c r="V388" i="5"/>
  <c r="E388" i="5"/>
  <c r="X388" i="5" s="1"/>
  <c r="V389" i="5"/>
  <c r="E389" i="5"/>
  <c r="X389" i="5" s="1"/>
  <c r="V390" i="5"/>
  <c r="E390" i="5"/>
  <c r="X390" i="5" s="1"/>
  <c r="V391" i="5"/>
  <c r="E391" i="5"/>
  <c r="X391" i="5" s="1"/>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X402" i="5" s="1"/>
  <c r="V403" i="5"/>
  <c r="E403" i="5"/>
  <c r="X403" i="5" s="1"/>
  <c r="V404" i="5"/>
  <c r="E404" i="5"/>
  <c r="X404" i="5" s="1"/>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3" i="5"/>
  <c r="E413" i="5"/>
  <c r="X413"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X431" i="5" s="1"/>
  <c r="V432" i="5"/>
  <c r="E432" i="5"/>
  <c r="X432" i="5" s="1"/>
  <c r="V433" i="5"/>
  <c r="E433" i="5"/>
  <c r="X433" i="5" s="1"/>
  <c r="V434" i="5"/>
  <c r="E434" i="5"/>
  <c r="X434" i="5" s="1"/>
  <c r="V435" i="5"/>
  <c r="E435" i="5"/>
  <c r="X435" i="5" s="1"/>
  <c r="V436" i="5"/>
  <c r="E436" i="5"/>
  <c r="X436" i="5" s="1"/>
  <c r="V437" i="5"/>
  <c r="E437" i="5"/>
  <c r="X437" i="5" s="1"/>
  <c r="V438" i="5"/>
  <c r="E438" i="5"/>
  <c r="X438" i="5" s="1"/>
  <c r="V439" i="5"/>
  <c r="E439" i="5"/>
  <c r="X439" i="5" s="1"/>
  <c r="V440" i="5"/>
  <c r="E440" i="5"/>
  <c r="X440" i="5" s="1"/>
  <c r="V441" i="5"/>
  <c r="E441" i="5"/>
  <c r="X441" i="5" s="1"/>
  <c r="V442" i="5"/>
  <c r="E442" i="5"/>
  <c r="X442" i="5" s="1"/>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X460" i="5" s="1"/>
  <c r="V461" i="5"/>
  <c r="E461" i="5"/>
  <c r="X461" i="5" s="1"/>
  <c r="V462" i="5"/>
  <c r="E462" i="5"/>
  <c r="X462" i="5" s="1"/>
  <c r="V463" i="5"/>
  <c r="E463" i="5"/>
  <c r="X463" i="5" s="1"/>
  <c r="V464" i="5"/>
  <c r="E464" i="5"/>
  <c r="X464" i="5" s="1"/>
  <c r="V465" i="5"/>
  <c r="E465" i="5"/>
  <c r="X465" i="5" s="1"/>
  <c r="V466" i="5"/>
  <c r="E466" i="5"/>
  <c r="X466" i="5" s="1"/>
  <c r="V467" i="5"/>
  <c r="E467" i="5"/>
  <c r="X467" i="5" s="1"/>
  <c r="V468" i="5"/>
  <c r="E468" i="5"/>
  <c r="X468" i="5" s="1"/>
  <c r="V469" i="5"/>
  <c r="E469" i="5"/>
  <c r="X469" i="5" s="1"/>
  <c r="V470" i="5"/>
  <c r="E470" i="5"/>
  <c r="X470" i="5" s="1"/>
  <c r="V471" i="5"/>
  <c r="E471" i="5"/>
  <c r="X471" i="5" s="1"/>
  <c r="V472" i="5"/>
  <c r="E472" i="5"/>
  <c r="X472" i="5" s="1"/>
  <c r="V473" i="5"/>
  <c r="E473" i="5"/>
  <c r="X473" i="5" s="1"/>
  <c r="V474" i="5"/>
  <c r="E474" i="5"/>
  <c r="X474" i="5" s="1"/>
  <c r="V475" i="5"/>
  <c r="E475" i="5"/>
  <c r="X475" i="5" s="1"/>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X486" i="5" s="1"/>
  <c r="V487" i="5"/>
  <c r="E487" i="5"/>
  <c r="X487" i="5" s="1"/>
  <c r="V488" i="5"/>
  <c r="E488" i="5"/>
  <c r="X488" i="5" s="1"/>
  <c r="V489" i="5"/>
  <c r="E489" i="5"/>
  <c r="X489" i="5" s="1"/>
  <c r="V490" i="5"/>
  <c r="E490" i="5"/>
  <c r="X490" i="5" s="1"/>
  <c r="V491" i="5"/>
  <c r="E491" i="5"/>
  <c r="X491" i="5" s="1"/>
  <c r="V492" i="5"/>
  <c r="E492" i="5"/>
  <c r="X492" i="5" s="1"/>
  <c r="V493" i="5"/>
  <c r="E493" i="5"/>
  <c r="X493" i="5" s="1"/>
  <c r="V494" i="5"/>
  <c r="E494" i="5"/>
  <c r="X494" i="5" s="1"/>
  <c r="V495" i="5"/>
  <c r="E495" i="5"/>
  <c r="X495" i="5" s="1"/>
  <c r="V496" i="5"/>
  <c r="E496" i="5"/>
  <c r="V497" i="5"/>
  <c r="E497" i="5"/>
  <c r="X497" i="5" s="1"/>
  <c r="V498" i="5"/>
  <c r="E498" i="5"/>
  <c r="X498" i="5" s="1"/>
  <c r="V499" i="5"/>
  <c r="E499" i="5"/>
  <c r="X499" i="5" s="1"/>
  <c r="V500" i="5"/>
  <c r="E500" i="5"/>
  <c r="X500" i="5" s="1"/>
  <c r="V501" i="5"/>
  <c r="E501" i="5"/>
  <c r="X501" i="5" s="1"/>
  <c r="V502" i="5"/>
  <c r="E502" i="5"/>
  <c r="X502" i="5" s="1"/>
  <c r="V503" i="5"/>
  <c r="E503" i="5"/>
  <c r="X503" i="5" s="1"/>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X554" i="5" s="1"/>
  <c r="V555" i="5"/>
  <c r="E555" i="5"/>
  <c r="X555" i="5" s="1"/>
  <c r="V556" i="5"/>
  <c r="E556" i="5"/>
  <c r="X556" i="5" s="1"/>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X573" i="5" s="1"/>
  <c r="V574" i="5"/>
  <c r="E574" i="5"/>
  <c r="X574" i="5" s="1"/>
  <c r="V575" i="5"/>
  <c r="E575" i="5"/>
  <c r="X575" i="5" s="1"/>
  <c r="V576" i="5"/>
  <c r="E576" i="5"/>
  <c r="X576" i="5" s="1"/>
  <c r="V577" i="5"/>
  <c r="E577" i="5"/>
  <c r="X577" i="5" s="1"/>
  <c r="V578" i="5"/>
  <c r="E578" i="5"/>
  <c r="X578" i="5" s="1"/>
  <c r="V579" i="5"/>
  <c r="E579" i="5"/>
  <c r="X579" i="5" s="1"/>
  <c r="V580" i="5"/>
  <c r="E580" i="5"/>
  <c r="X580" i="5" s="1"/>
  <c r="V581" i="5"/>
  <c r="E581" i="5"/>
  <c r="X581" i="5" s="1"/>
  <c r="V582" i="5"/>
  <c r="E582" i="5"/>
  <c r="X582" i="5" s="1"/>
  <c r="V583" i="5"/>
  <c r="E583" i="5"/>
  <c r="X583" i="5" s="1"/>
  <c r="V584" i="5"/>
  <c r="E584" i="5"/>
  <c r="X584" i="5" s="1"/>
  <c r="V585" i="5"/>
  <c r="E585" i="5"/>
  <c r="X585" i="5" s="1"/>
  <c r="V586" i="5"/>
  <c r="E586" i="5"/>
  <c r="X586" i="5" s="1"/>
  <c r="V587" i="5"/>
  <c r="E587" i="5"/>
  <c r="X587" i="5" s="1"/>
  <c r="V588" i="5"/>
  <c r="E588" i="5"/>
  <c r="X588" i="5" s="1"/>
  <c r="V589" i="5"/>
  <c r="E589" i="5"/>
  <c r="X589" i="5" s="1"/>
  <c r="V590" i="5"/>
  <c r="E590" i="5"/>
  <c r="X590" i="5" s="1"/>
  <c r="V591" i="5"/>
  <c r="E591" i="5"/>
  <c r="X591" i="5" s="1"/>
  <c r="V592" i="5"/>
  <c r="E592" i="5"/>
  <c r="X592" i="5" s="1"/>
  <c r="V593" i="5"/>
  <c r="E593" i="5"/>
  <c r="X593" i="5" s="1"/>
  <c r="V594" i="5"/>
  <c r="E594" i="5"/>
  <c r="X594" i="5" s="1"/>
  <c r="V595" i="5"/>
  <c r="E595" i="5"/>
  <c r="X595" i="5" s="1"/>
  <c r="V596" i="5"/>
  <c r="E596" i="5"/>
  <c r="X596" i="5" s="1"/>
  <c r="V597" i="5"/>
  <c r="E597" i="5"/>
  <c r="X597" i="5" s="1"/>
  <c r="V598" i="5"/>
  <c r="E598" i="5"/>
  <c r="X598" i="5" s="1"/>
  <c r="V599" i="5"/>
  <c r="E599" i="5"/>
  <c r="X599" i="5" s="1"/>
  <c r="V600" i="5"/>
  <c r="E600" i="5"/>
  <c r="X600" i="5" s="1"/>
  <c r="V601" i="5"/>
  <c r="E601" i="5"/>
  <c r="X601" i="5" s="1"/>
  <c r="V602" i="5"/>
  <c r="E602" i="5"/>
  <c r="X602" i="5" s="1"/>
  <c r="V603" i="5"/>
  <c r="E603" i="5"/>
  <c r="X603" i="5" s="1"/>
  <c r="V604" i="5"/>
  <c r="E604" i="5"/>
  <c r="X604" i="5" s="1"/>
  <c r="V605" i="5"/>
  <c r="E605" i="5"/>
  <c r="X605" i="5" s="1"/>
  <c r="V606" i="5"/>
  <c r="E606" i="5"/>
  <c r="X606" i="5" s="1"/>
  <c r="V607" i="5"/>
  <c r="E607" i="5"/>
  <c r="X607" i="5" s="1"/>
  <c r="V608" i="5"/>
  <c r="E608" i="5"/>
  <c r="X608" i="5" s="1"/>
  <c r="V609" i="5"/>
  <c r="E609" i="5"/>
  <c r="X609" i="5" s="1"/>
  <c r="V610" i="5"/>
  <c r="E610" i="5"/>
  <c r="X610" i="5" s="1"/>
  <c r="V611" i="5"/>
  <c r="E611" i="5"/>
  <c r="X611" i="5" s="1"/>
  <c r="V612" i="5"/>
  <c r="E612" i="5"/>
  <c r="X612" i="5" s="1"/>
  <c r="V613" i="5"/>
  <c r="E613" i="5"/>
  <c r="X613" i="5" s="1"/>
  <c r="V614" i="5"/>
  <c r="E614" i="5"/>
  <c r="X614" i="5" s="1"/>
  <c r="V615" i="5"/>
  <c r="E615" i="5"/>
  <c r="X615" i="5" s="1"/>
  <c r="V616" i="5"/>
  <c r="E616" i="5"/>
  <c r="X616" i="5" s="1"/>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X632" i="5" s="1"/>
  <c r="V633" i="5"/>
  <c r="E633" i="5"/>
  <c r="X633" i="5" s="1"/>
  <c r="V634" i="5"/>
  <c r="E634" i="5"/>
  <c r="X634" i="5" s="1"/>
  <c r="V635" i="5"/>
  <c r="E635" i="5"/>
  <c r="X635" i="5" s="1"/>
  <c r="V636" i="5"/>
  <c r="E636" i="5"/>
  <c r="X636" i="5" s="1"/>
  <c r="V637" i="5"/>
  <c r="E637" i="5"/>
  <c r="X637" i="5" s="1"/>
  <c r="V638" i="5"/>
  <c r="E638" i="5"/>
  <c r="X638" i="5" s="1"/>
  <c r="V639" i="5"/>
  <c r="E639" i="5"/>
  <c r="X639" i="5" s="1"/>
  <c r="V640" i="5"/>
  <c r="E640" i="5"/>
  <c r="X640" i="5" s="1"/>
  <c r="V641" i="5"/>
  <c r="E641" i="5"/>
  <c r="X641" i="5" s="1"/>
  <c r="V642" i="5"/>
  <c r="E642" i="5"/>
  <c r="X642" i="5" s="1"/>
  <c r="V643" i="5"/>
  <c r="E643" i="5"/>
  <c r="X643" i="5" s="1"/>
  <c r="V644" i="5"/>
  <c r="E644" i="5"/>
  <c r="X644" i="5" s="1"/>
  <c r="V645" i="5"/>
  <c r="E645" i="5"/>
  <c r="X645" i="5" s="1"/>
  <c r="V646" i="5"/>
  <c r="E646" i="5"/>
  <c r="X646" i="5" s="1"/>
  <c r="V647" i="5"/>
  <c r="E647" i="5"/>
  <c r="X647" i="5" s="1"/>
  <c r="V648" i="5"/>
  <c r="E648" i="5"/>
  <c r="X648" i="5" s="1"/>
  <c r="V649" i="5"/>
  <c r="E649" i="5"/>
  <c r="X649" i="5" s="1"/>
  <c r="V650" i="5"/>
  <c r="E650" i="5"/>
  <c r="X650" i="5" s="1"/>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X671" i="5" s="1"/>
  <c r="V672" i="5"/>
  <c r="E672" i="5"/>
  <c r="X672" i="5" s="1"/>
  <c r="V673" i="5"/>
  <c r="E673" i="5"/>
  <c r="X673" i="5" s="1"/>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X684" i="5" s="1"/>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X871" i="5" s="1"/>
  <c r="V872" i="5"/>
  <c r="E872" i="5"/>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X900" i="5" s="1"/>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X914" i="5" s="1"/>
  <c r="V915" i="5"/>
  <c r="E915" i="5"/>
  <c r="X915" i="5" s="1"/>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X945" i="5" s="1"/>
  <c r="V946" i="5"/>
  <c r="E946" i="5"/>
  <c r="X946" i="5" s="1"/>
  <c r="V947" i="5"/>
  <c r="E947" i="5"/>
  <c r="X947" i="5" s="1"/>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X1400" i="5" s="1"/>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5" i="8"/>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79" i="5"/>
  <c r="I79" i="5"/>
  <c r="H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I59" i="5"/>
  <c r="I126" i="5"/>
  <c r="H126" i="5"/>
  <c r="H147" i="5"/>
  <c r="I147" i="5"/>
  <c r="F147" i="5"/>
  <c r="R237" i="5"/>
  <c r="F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R195" i="5"/>
  <c r="I195" i="5"/>
  <c r="J195" i="5"/>
  <c r="H67" i="5"/>
  <c r="R67" i="5"/>
  <c r="J67" i="5"/>
  <c r="I67" i="5"/>
  <c r="F67" i="5"/>
  <c r="H19" i="5"/>
  <c r="R19" i="5"/>
  <c r="J19" i="5"/>
  <c r="H35" i="5"/>
  <c r="R35" i="5"/>
  <c r="J35" i="5"/>
  <c r="I35" i="5"/>
  <c r="F35" i="5"/>
  <c r="H139" i="5"/>
  <c r="R139" i="5"/>
  <c r="J139" i="5"/>
  <c r="I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I51" i="5"/>
  <c r="F51" i="5"/>
  <c r="R77" i="5"/>
  <c r="I77" i="5"/>
  <c r="R89" i="5"/>
  <c r="I89" i="5"/>
  <c r="F129" i="5"/>
  <c r="H199" i="5"/>
  <c r="R199" i="5"/>
  <c r="J199" i="5"/>
  <c r="I199" i="5"/>
  <c r="F199" i="5"/>
  <c r="H131" i="5"/>
  <c r="F131" i="5"/>
  <c r="I131" i="5"/>
  <c r="R131" i="5"/>
  <c r="J131" i="5"/>
  <c r="H21" i="5"/>
  <c r="J21" i="5"/>
  <c r="R57" i="5"/>
  <c r="I57" i="5"/>
  <c r="F105" i="5"/>
  <c r="R105" i="5"/>
  <c r="H119" i="5"/>
  <c r="F119" i="5"/>
  <c r="I119" i="5"/>
  <c r="R119" i="5"/>
  <c r="J119" i="5"/>
  <c r="R197" i="5"/>
  <c r="F197" i="5"/>
  <c r="H223" i="5"/>
  <c r="R223" i="5"/>
  <c r="J223" i="5"/>
  <c r="F223" i="5"/>
  <c r="I223" i="5"/>
  <c r="R229" i="5"/>
  <c r="F229" i="5"/>
  <c r="R337" i="5"/>
  <c r="J337" i="5"/>
  <c r="H337" i="5"/>
  <c r="F337" i="5"/>
  <c r="H31" i="5"/>
  <c r="J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J25" i="5"/>
  <c r="AB26" i="5"/>
  <c r="I46" i="5"/>
  <c r="AB22" i="5"/>
  <c r="F23" i="5"/>
  <c r="I24" i="5"/>
  <c r="R25" i="5"/>
  <c r="H34" i="5"/>
  <c r="F39" i="5"/>
  <c r="I45" i="5"/>
  <c r="R47" i="5"/>
  <c r="H50"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34" i="5"/>
  <c r="I50" i="5"/>
  <c r="I66"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J23" i="5"/>
  <c r="AB32" i="5"/>
  <c r="J39"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23"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R5"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J121" i="5"/>
  <c r="I121" i="5"/>
  <c r="H121" i="5"/>
  <c r="AB141" i="5"/>
  <c r="H146" i="5"/>
  <c r="F150" i="5"/>
  <c r="R150" i="5"/>
  <c r="J150" i="5"/>
  <c r="AB19" i="5"/>
  <c r="AB27" i="5"/>
  <c r="H18" i="5"/>
  <c r="F21"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8" i="5"/>
  <c r="F19" i="5"/>
  <c r="I21" i="5"/>
  <c r="R23" i="5"/>
  <c r="H24" i="5"/>
  <c r="R26" i="5"/>
  <c r="F27" i="5"/>
  <c r="I29" i="5"/>
  <c r="R31" i="5"/>
  <c r="H32"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D14" i="6"/>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F2442" i="5"/>
  <c r="J2442" i="5"/>
  <c r="I2442" i="5"/>
  <c r="H2442" i="5"/>
  <c r="AB2460" i="5"/>
  <c r="F2497" i="5"/>
  <c r="R2497" i="5"/>
  <c r="J2497" i="5"/>
  <c r="I2497" i="5"/>
  <c r="H2497" i="5"/>
  <c r="S2501" i="5"/>
  <c r="F64" i="6"/>
  <c r="G5" i="6"/>
  <c r="H5" i="6"/>
  <c r="H6" i="6"/>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D4" i="6"/>
  <c r="F2481" i="5"/>
  <c r="R2492" i="5"/>
  <c r="J2492" i="5"/>
  <c r="S2504" i="5"/>
  <c r="S2477" i="5"/>
  <c r="AB2482" i="5"/>
  <c r="B21" i="6"/>
  <c r="B51" i="6"/>
  <c r="G51" i="6"/>
  <c r="G16" i="6"/>
  <c r="H16" i="6"/>
  <c r="B19" i="6"/>
  <c r="A38" i="2"/>
  <c r="J4" i="5"/>
  <c r="B41" i="4"/>
  <c r="B53" i="4" s="1"/>
  <c r="A37" i="6" s="1"/>
  <c r="A55" i="2"/>
  <c r="A73" i="2"/>
  <c r="B9" i="3"/>
  <c r="A3" i="2"/>
  <c r="A20" i="2"/>
  <c r="B17" i="3"/>
  <c r="B29" i="4"/>
  <c r="A17" i="6" s="1"/>
  <c r="B25" i="3"/>
  <c r="C20" i="3"/>
  <c r="A75" i="2"/>
  <c r="C25" i="3"/>
  <c r="N4" i="5"/>
  <c r="A43" i="2"/>
  <c r="C3" i="3"/>
  <c r="C19" i="3"/>
  <c r="B31" i="4"/>
  <c r="A18" i="6" s="1"/>
  <c r="P4" i="5"/>
  <c r="A45" i="2"/>
  <c r="C4" i="3"/>
  <c r="B26" i="4"/>
  <c r="A14" i="6" s="1"/>
  <c r="A12" i="2"/>
  <c r="A29" i="2"/>
  <c r="A46" i="2"/>
  <c r="A63" i="2"/>
  <c r="B5" i="3"/>
  <c r="B13" i="3"/>
  <c r="B21" i="3"/>
  <c r="B29" i="3"/>
  <c r="B9" i="4"/>
  <c r="A5" i="6" s="1"/>
  <c r="B39" i="4"/>
  <c r="A2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74" i="4" s="1"/>
  <c r="B83" i="4"/>
  <c r="A59" i="6" s="1"/>
  <c r="A17" i="2"/>
  <c r="A34" i="2"/>
  <c r="A52" i="2"/>
  <c r="A70" i="2"/>
  <c r="C7" i="3"/>
  <c r="C15" i="3"/>
  <c r="C23" i="3"/>
  <c r="C31" i="3"/>
  <c r="B15" i="4"/>
  <c r="A7" i="6" s="1"/>
  <c r="B28" i="4"/>
  <c r="A16" i="6" s="1"/>
  <c r="B40" i="4"/>
  <c r="A26" i="6" s="1"/>
  <c r="F4" i="5"/>
  <c r="A2" i="2"/>
  <c r="A19" i="2"/>
  <c r="A37" i="2"/>
  <c r="A54" i="2"/>
  <c r="A72" i="2"/>
  <c r="C8" i="3"/>
  <c r="C16" i="3"/>
  <c r="C24" i="3"/>
  <c r="D2" i="4"/>
  <c r="B17" i="4"/>
  <c r="A9" i="6" s="1"/>
  <c r="H4" i="5"/>
  <c r="J14" i="6"/>
  <c r="C14" i="6" s="1"/>
  <c r="J15" i="6"/>
  <c r="C15" i="6" s="1"/>
  <c r="J16" i="6"/>
  <c r="C16" i="6" s="1"/>
  <c r="J17" i="6"/>
  <c r="C17" i="6" s="1"/>
  <c r="J25" i="6"/>
  <c r="C25" i="6" s="1"/>
  <c r="I26" i="6"/>
  <c r="J37" i="6"/>
  <c r="C37" i="6" s="1"/>
  <c r="J45" i="6"/>
  <c r="C45" i="6" s="1"/>
  <c r="I46" i="6"/>
  <c r="I54" i="6"/>
  <c r="J63" i="6"/>
  <c r="C63" i="6" s="1"/>
  <c r="J64" i="6"/>
  <c r="J66" i="6"/>
  <c r="I67" i="6"/>
  <c r="A1" i="8"/>
  <c r="I19" i="6"/>
  <c r="J26" i="6"/>
  <c r="C26" i="6" s="1"/>
  <c r="I27" i="6"/>
  <c r="I39" i="6"/>
  <c r="J46" i="6"/>
  <c r="C46" i="6" s="1"/>
  <c r="I47" i="6"/>
  <c r="J54" i="6"/>
  <c r="C54" i="6" s="1"/>
  <c r="I55" i="6"/>
  <c r="I56" i="6"/>
  <c r="C56" i="6" s="1"/>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C19" i="6" s="1"/>
  <c r="I20" i="6"/>
  <c r="J27" i="6"/>
  <c r="C27" i="6" s="1"/>
  <c r="I29" i="6"/>
  <c r="I30" i="6"/>
  <c r="I31" i="6"/>
  <c r="I32" i="6"/>
  <c r="J39" i="6"/>
  <c r="C39" i="6" s="1"/>
  <c r="I40" i="6"/>
  <c r="J47" i="6"/>
  <c r="C47" i="6" s="1"/>
  <c r="J55" i="6"/>
  <c r="C55" i="6" s="1"/>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C20" i="6" s="1"/>
  <c r="I21" i="6"/>
  <c r="J29" i="6"/>
  <c r="C29" i="6" s="1"/>
  <c r="J30" i="6"/>
  <c r="C30" i="6" s="1"/>
  <c r="J31" i="6"/>
  <c r="C31" i="6" s="1"/>
  <c r="J32" i="6"/>
  <c r="C32" i="6" s="1"/>
  <c r="J40" i="6"/>
  <c r="C40" i="6" s="1"/>
  <c r="I41" i="6"/>
  <c r="I49" i="6"/>
  <c r="J57" i="6"/>
  <c r="C57" i="6" s="1"/>
  <c r="I58" i="6"/>
  <c r="L67" i="6"/>
  <c r="A1" i="7"/>
  <c r="D4" i="8"/>
  <c r="C3" i="6"/>
  <c r="I4" i="6"/>
  <c r="I5" i="6"/>
  <c r="J21" i="6"/>
  <c r="C21" i="6" s="1"/>
  <c r="I22" i="6"/>
  <c r="I34" i="6"/>
  <c r="J41" i="6"/>
  <c r="C41" i="6" s="1"/>
  <c r="I42" i="6"/>
  <c r="J49" i="6"/>
  <c r="C49" i="6" s="1"/>
  <c r="I50" i="6"/>
  <c r="J58" i="6"/>
  <c r="C58" i="6" s="1"/>
  <c r="I59" i="6"/>
  <c r="L68" i="6"/>
  <c r="B5" i="7"/>
  <c r="G4" i="8"/>
  <c r="A1" i="2"/>
  <c r="A10" i="2"/>
  <c r="A18" i="2"/>
  <c r="A27" i="2"/>
  <c r="A35" i="2"/>
  <c r="A44" i="2"/>
  <c r="A53" i="2"/>
  <c r="A61" i="2"/>
  <c r="A71" i="2"/>
  <c r="B4" i="3"/>
  <c r="B8" i="3"/>
  <c r="B12" i="3"/>
  <c r="B16" i="3"/>
  <c r="B20" i="3"/>
  <c r="B24" i="3"/>
  <c r="B28" i="3"/>
  <c r="B32" i="3"/>
  <c r="B8" i="4"/>
  <c r="A4" i="6"/>
  <c r="B16" i="4"/>
  <c r="A8" i="6" s="1"/>
  <c r="B25" i="4"/>
  <c r="A13" i="6" s="1"/>
  <c r="B37" i="4"/>
  <c r="A23" i="6" s="1"/>
  <c r="B47" i="4"/>
  <c r="A32" i="6" s="1"/>
  <c r="B61" i="4"/>
  <c r="A43" i="6" s="1"/>
  <c r="B74" i="4"/>
  <c r="A53" i="6" s="1"/>
  <c r="B81" i="4"/>
  <c r="A58" i="6" s="1"/>
  <c r="B3" i="5"/>
  <c r="G4" i="5"/>
  <c r="O4" i="5"/>
  <c r="A1" i="6"/>
  <c r="D3" i="6"/>
  <c r="J4" i="6"/>
  <c r="C4" i="6" s="1"/>
  <c r="J5" i="6"/>
  <c r="C5" i="6" s="1"/>
  <c r="I6" i="6"/>
  <c r="C6" i="6" s="1"/>
  <c r="I7" i="6"/>
  <c r="I8" i="6"/>
  <c r="I9" i="6"/>
  <c r="I10" i="6"/>
  <c r="I11" i="6"/>
  <c r="I12" i="6"/>
  <c r="J22" i="6"/>
  <c r="C22" i="6" s="1"/>
  <c r="J34" i="6"/>
  <c r="C34" i="6" s="1"/>
  <c r="I35" i="6"/>
  <c r="J42" i="6"/>
  <c r="C42" i="6" s="1"/>
  <c r="J50" i="6"/>
  <c r="C50" i="6" s="1"/>
  <c r="I51" i="6"/>
  <c r="J59" i="6"/>
  <c r="C59" i="6" s="1"/>
  <c r="I60" i="6"/>
  <c r="C5" i="7"/>
  <c r="D1" i="6"/>
  <c r="J6" i="6"/>
  <c r="J7" i="6"/>
  <c r="C7" i="6" s="1"/>
  <c r="J8" i="6"/>
  <c r="C8" i="6" s="1"/>
  <c r="J9" i="6"/>
  <c r="C9" i="6" s="1"/>
  <c r="J10" i="6"/>
  <c r="C10" i="6" s="1"/>
  <c r="J11" i="6"/>
  <c r="C11" i="6" s="1"/>
  <c r="J12" i="6"/>
  <c r="C12" i="6" s="1"/>
  <c r="I24" i="6"/>
  <c r="J35" i="6"/>
  <c r="C35" i="6" s="1"/>
  <c r="I36" i="6"/>
  <c r="I44" i="6"/>
  <c r="J51" i="6"/>
  <c r="C51" i="6" s="1"/>
  <c r="I52" i="6"/>
  <c r="J60" i="6"/>
  <c r="C60" i="6" s="1"/>
  <c r="I62" i="6"/>
  <c r="I65" i="6"/>
  <c r="D5" i="7"/>
  <c r="B10" i="4"/>
  <c r="A6" i="6" s="1"/>
  <c r="B18" i="4"/>
  <c r="A10" i="6" s="1"/>
  <c r="G25" i="4"/>
  <c r="G31" i="4" s="1"/>
  <c r="B44" i="4"/>
  <c r="A29" i="6" s="1"/>
  <c r="B49" i="4"/>
  <c r="A33" i="6" s="1"/>
  <c r="B85" i="4"/>
  <c r="A60" i="6" s="1"/>
  <c r="A4" i="5"/>
  <c r="I4" i="5"/>
  <c r="I14" i="6"/>
  <c r="I15" i="6"/>
  <c r="I16" i="6"/>
  <c r="I17" i="6"/>
  <c r="J24" i="6"/>
  <c r="C24" i="6" s="1"/>
  <c r="I25" i="6"/>
  <c r="J36" i="6"/>
  <c r="C36" i="6" s="1"/>
  <c r="I37" i="6"/>
  <c r="J44" i="6"/>
  <c r="C44" i="6" s="1"/>
  <c r="I45" i="6"/>
  <c r="J52" i="6"/>
  <c r="C52" i="6" s="1"/>
  <c r="J62" i="6"/>
  <c r="C62" i="6" s="1"/>
  <c r="I63" i="6"/>
  <c r="I64" i="6"/>
  <c r="J65" i="6"/>
  <c r="I66" i="6"/>
  <c r="B60"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S598" i="5"/>
  <c r="S532" i="5"/>
  <c r="S356" i="5"/>
  <c r="S343" i="5"/>
  <c r="S315" i="5"/>
  <c r="X118" i="5"/>
  <c r="X62" i="5"/>
  <c r="S357" i="5"/>
  <c r="X130" i="5"/>
  <c r="S383" i="5"/>
  <c r="B32" i="6"/>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I1381" i="5"/>
  <c r="X872" i="5"/>
  <c r="J463" i="5"/>
  <c r="I1947" i="5"/>
  <c r="R1665"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H1317" i="5"/>
  <c r="I979" i="5"/>
  <c r="F888" i="5"/>
  <c r="R730" i="5"/>
  <c r="F524" i="5"/>
  <c r="F1140" i="5"/>
  <c r="J580" i="5"/>
  <c r="I1842" i="5"/>
  <c r="R1811" i="5"/>
  <c r="F1471" i="5"/>
  <c r="R1317" i="5"/>
  <c r="I1086" i="5"/>
  <c r="I869" i="5"/>
  <c r="H730" i="5"/>
  <c r="H592" i="5"/>
  <c r="R411" i="5"/>
  <c r="H439" i="5"/>
  <c r="H411" i="5"/>
  <c r="I277" i="5"/>
  <c r="I730" i="5"/>
  <c r="F87" i="5"/>
  <c r="R87" i="5"/>
  <c r="J1842" i="5"/>
  <c r="H1696" i="5"/>
  <c r="J1086" i="5"/>
  <c r="I524" i="5"/>
  <c r="R439" i="5"/>
  <c r="I293" i="5"/>
  <c r="J87" i="5"/>
  <c r="B30" i="6"/>
  <c r="G30" i="6"/>
  <c r="B41" i="6"/>
  <c r="G41" i="6"/>
  <c r="B31" i="6"/>
  <c r="G31" i="6"/>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F26" i="6"/>
  <c r="B52" i="6"/>
  <c r="G52" i="6"/>
  <c r="B37" i="6"/>
  <c r="G37" i="6"/>
  <c r="B42" i="6"/>
  <c r="G42" i="6"/>
  <c r="B40" i="6"/>
  <c r="G40" i="6"/>
  <c r="B50" i="6"/>
  <c r="G50" i="6"/>
  <c r="B25" i="6"/>
  <c r="G25" i="6"/>
  <c r="B35" i="6"/>
  <c r="G35" i="6"/>
  <c r="B39" i="6"/>
  <c r="G39" i="6"/>
  <c r="F24" i="6"/>
  <c r="B44" i="6"/>
  <c r="G44" i="6"/>
  <c r="G32" i="6"/>
  <c r="B49" i="6"/>
  <c r="G49" i="6"/>
  <c r="B34" i="6"/>
  <c r="G34" i="6"/>
  <c r="B29" i="6"/>
  <c r="G29" i="6"/>
  <c r="B24" i="6"/>
  <c r="G24" i="6"/>
  <c r="G19" i="6"/>
  <c r="H19" i="6"/>
  <c r="F2426" i="5"/>
  <c r="R2426" i="5"/>
  <c r="J2426" i="5"/>
  <c r="I2426" i="5"/>
  <c r="H2426" i="5"/>
  <c r="D5" i="6"/>
  <c r="F2446" i="5"/>
  <c r="H2446" i="5"/>
  <c r="J2446" i="5"/>
  <c r="I2446" i="5"/>
  <c r="R2446" i="5"/>
  <c r="G22" i="6"/>
  <c r="B47" i="6"/>
  <c r="G47" i="6"/>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X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X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c r="B26" i="6"/>
  <c r="G26" i="6"/>
  <c r="G21" i="6"/>
  <c r="H21" i="6"/>
  <c r="B36" i="6"/>
  <c r="G36" i="6"/>
  <c r="G20" i="6"/>
  <c r="H20" i="6"/>
  <c r="B45" i="6"/>
  <c r="G45" i="6"/>
  <c r="D17" i="6"/>
  <c r="H2439" i="5"/>
  <c r="F2439" i="5"/>
  <c r="R2439" i="5"/>
  <c r="J2439" i="5"/>
  <c r="I2439" i="5"/>
  <c r="F2414" i="5"/>
  <c r="R2414" i="5"/>
  <c r="J2414" i="5"/>
  <c r="I2414" i="5"/>
  <c r="H2414" i="5"/>
  <c r="J2448" i="5"/>
  <c r="F2448" i="5"/>
  <c r="I2448" i="5"/>
  <c r="H2448" i="5"/>
  <c r="R2448" i="5"/>
  <c r="B27" i="6"/>
  <c r="G27" i="6"/>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X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X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X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67" i="6"/>
  <c r="F31" i="6"/>
  <c r="F46" i="6"/>
  <c r="F41" i="6"/>
  <c r="H41" i="6"/>
  <c r="D41" i="6"/>
  <c r="F36" i="6"/>
  <c r="H36" i="6"/>
  <c r="D36" i="6"/>
  <c r="F51" i="6"/>
  <c r="H51" i="6"/>
  <c r="D51" i="6"/>
  <c r="J2479" i="5"/>
  <c r="I2479" i="5"/>
  <c r="R2479" i="5"/>
  <c r="H2479" i="5"/>
  <c r="F2479" i="5"/>
  <c r="F45" i="6"/>
  <c r="H45" i="6"/>
  <c r="D45" i="6"/>
  <c r="F66" i="6"/>
  <c r="F50" i="6"/>
  <c r="H50" i="6"/>
  <c r="D50" i="6"/>
  <c r="F30" i="6"/>
  <c r="H25" i="6"/>
  <c r="F35" i="6"/>
  <c r="F40" i="6"/>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42" i="6"/>
  <c r="H42" i="6"/>
  <c r="D42" i="6"/>
  <c r="H27" i="6"/>
  <c r="F68" i="6"/>
  <c r="F32" i="6"/>
  <c r="F52" i="6"/>
  <c r="H52" i="6"/>
  <c r="D52" i="6"/>
  <c r="F47" i="6"/>
  <c r="F37" i="6"/>
  <c r="H37" i="6"/>
  <c r="D37" i="6"/>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H22" i="6"/>
  <c r="K68" i="6"/>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X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K67" i="6"/>
  <c r="D16" i="6"/>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D15" i="6"/>
  <c r="K66" i="6"/>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H44" i="6"/>
  <c r="D44" i="6"/>
  <c r="F34" i="6"/>
  <c r="F39" i="6"/>
  <c r="F54" i="6"/>
  <c r="F65" i="6"/>
  <c r="F49" i="6"/>
  <c r="F29" i="6"/>
  <c r="H29" i="6"/>
  <c r="F2430" i="5"/>
  <c r="R2430" i="5"/>
  <c r="J2430" i="5"/>
  <c r="I2430" i="5"/>
  <c r="H2430" i="5"/>
  <c r="D6" i="6"/>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597" i="5"/>
  <c r="S599" i="5"/>
  <c r="S611" i="5"/>
  <c r="S601" i="5"/>
  <c r="X244" i="5"/>
  <c r="X496" i="5"/>
  <c r="S600" i="5"/>
  <c r="S382" i="5"/>
  <c r="S533" i="5"/>
  <c r="S355" i="5"/>
  <c r="S602" i="5"/>
  <c r="S603" i="5"/>
  <c r="S605" i="5"/>
  <c r="S607" i="5"/>
  <c r="S314" i="5"/>
  <c r="X160" i="5"/>
  <c r="H39" i="6"/>
  <c r="D39" i="6"/>
  <c r="H26" i="6"/>
  <c r="H24" i="6"/>
  <c r="H35" i="6"/>
  <c r="D35" i="6"/>
  <c r="H40" i="6"/>
  <c r="D40" i="6"/>
  <c r="H46" i="6"/>
  <c r="D46" i="6"/>
  <c r="H31" i="6"/>
  <c r="D29" i="6"/>
  <c r="H30" i="6"/>
  <c r="AB12" i="5"/>
  <c r="AB9" i="5"/>
  <c r="AB14" i="5"/>
  <c r="AB17" i="5"/>
  <c r="AB16" i="5"/>
  <c r="AB8" i="5"/>
  <c r="AB13" i="5"/>
  <c r="AB15" i="5"/>
  <c r="AB11" i="5"/>
  <c r="H49" i="6"/>
  <c r="D49" i="6"/>
  <c r="H34" i="6"/>
  <c r="H32" i="6"/>
  <c r="D19" i="6"/>
  <c r="K65" i="6"/>
  <c r="D24" i="6"/>
  <c r="D27" i="6"/>
  <c r="D20" i="6"/>
  <c r="C2" i="6"/>
  <c r="B2" i="6"/>
  <c r="F57" i="6"/>
  <c r="H57" i="6"/>
  <c r="H54" i="6"/>
  <c r="F62" i="6"/>
  <c r="H62" i="6"/>
  <c r="F58" i="6"/>
  <c r="H58" i="6"/>
  <c r="F60" i="6"/>
  <c r="H60" i="6"/>
  <c r="F63" i="6"/>
  <c r="H63" i="6"/>
  <c r="F59" i="6"/>
  <c r="H59" i="6"/>
  <c r="F55" i="6"/>
  <c r="D25" i="6"/>
  <c r="D26" i="6"/>
  <c r="D21" i="6"/>
  <c r="D22" i="6"/>
  <c r="H47" i="6"/>
  <c r="D47"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D34" i="6"/>
  <c r="D31" i="6"/>
  <c r="D30" i="6"/>
  <c r="D32" i="6"/>
  <c r="R16" i="5"/>
  <c r="I16" i="5"/>
  <c r="H16" i="5"/>
  <c r="J16" i="5"/>
  <c r="F16" i="5"/>
  <c r="R13" i="5"/>
  <c r="H17" i="5"/>
  <c r="I17" i="5"/>
  <c r="J17" i="5"/>
  <c r="R17" i="5"/>
  <c r="F17" i="5"/>
  <c r="R12" i="5"/>
  <c r="R9" i="5"/>
  <c r="R8" i="5"/>
  <c r="R15" i="5"/>
  <c r="R11" i="5"/>
  <c r="R14" i="5"/>
  <c r="D60" i="6"/>
  <c r="D58" i="6"/>
  <c r="D63" i="6"/>
  <c r="D62" i="6"/>
  <c r="D54" i="6"/>
  <c r="D57" i="6"/>
  <c r="F56" i="6"/>
  <c r="H56" i="6"/>
  <c r="H55" i="6"/>
  <c r="D59" i="6"/>
  <c r="D55" i="6"/>
  <c r="D56" i="6"/>
  <c r="S17" i="5"/>
  <c r="S12" i="5"/>
  <c r="S16" i="5"/>
  <c r="S15" i="5"/>
  <c r="S13" i="5"/>
  <c r="S14" i="5"/>
  <c r="S11" i="5"/>
  <c r="S8" i="5"/>
  <c r="S9" i="5"/>
  <c r="G64" i="6" a="1"/>
  <c r="AB7" i="5" l="1"/>
  <c r="T7" i="5"/>
  <c r="S7" i="5"/>
  <c r="A27" i="6"/>
  <c r="G43" i="4"/>
  <c r="B51" i="4"/>
  <c r="A35" i="6" s="1"/>
  <c r="D55" i="4"/>
  <c r="D31" i="4"/>
  <c r="D49" i="4"/>
  <c r="D37" i="4"/>
  <c r="A24" i="6"/>
  <c r="B56" i="4"/>
  <c r="A39" i="6" s="1"/>
  <c r="B68" i="4"/>
  <c r="A49" i="6" s="1"/>
  <c r="B62" i="4"/>
  <c r="A44" i="6" s="1"/>
  <c r="B50" i="4"/>
  <c r="A34" i="6" s="1"/>
  <c r="G74" i="4"/>
  <c r="G67" i="4"/>
  <c r="D61" i="4"/>
  <c r="B34" i="4"/>
  <c r="A21" i="6" s="1"/>
  <c r="B32" i="4"/>
  <c r="A19" i="6" s="1"/>
  <c r="B63" i="4"/>
  <c r="A45" i="6" s="1"/>
  <c r="G49" i="4"/>
  <c r="B69" i="4"/>
  <c r="A50" i="6" s="1"/>
  <c r="G61" i="4"/>
  <c r="B35" i="4"/>
  <c r="A22" i="6" s="1"/>
  <c r="B57" i="4"/>
  <c r="A40" i="6" s="1"/>
  <c r="B58" i="4"/>
  <c r="A41" i="6" s="1"/>
  <c r="B52" i="4"/>
  <c r="A36" i="6" s="1"/>
  <c r="G55" i="4"/>
  <c r="D67" i="4"/>
  <c r="G37" i="4"/>
  <c r="D43" i="4"/>
  <c r="B64" i="4"/>
  <c r="A46" i="6" s="1"/>
  <c r="G64" i="6"/>
  <c r="B71" i="4"/>
  <c r="A52" i="6" s="1"/>
  <c r="B59" i="4"/>
  <c r="A42" i="6" s="1"/>
  <c r="B70" i="4"/>
  <c r="A51" i="6" s="1"/>
  <c r="B65" i="4"/>
  <c r="A47" i="6" s="1"/>
  <c r="B33" i="4"/>
  <c r="A20" i="6" s="1"/>
  <c r="V10" i="5" l="1"/>
  <c r="AB10" i="5"/>
  <c r="V7" i="5"/>
  <c r="V6" i="5"/>
  <c r="F69" i="6"/>
  <c r="C69" i="6" s="1"/>
  <c r="AB6" i="5"/>
  <c r="X5" i="5"/>
  <c r="H64" i="6"/>
  <c r="B64" i="6"/>
  <c r="S5" i="5"/>
  <c r="R10" i="5" l="1"/>
  <c r="R7" i="5"/>
  <c r="X7" i="5"/>
  <c r="G67" i="6"/>
  <c r="H67" i="6" s="1"/>
  <c r="G68" i="6"/>
  <c r="H68" i="6" s="1"/>
  <c r="G66" i="6"/>
  <c r="H66" i="6" s="1"/>
  <c r="G65" i="6"/>
  <c r="H65" i="6" s="1"/>
  <c r="R6" i="5"/>
  <c r="D64" i="6"/>
  <c r="C64" i="6"/>
  <c r="S6" i="5"/>
  <c r="T5" i="5"/>
  <c r="X10" i="5" l="1"/>
  <c r="X6" i="5"/>
  <c r="G69" i="6" a="1"/>
  <c r="G69" i="6" s="1"/>
  <c r="H69" i="6" s="1"/>
  <c r="H70" i="6" s="1"/>
  <c r="D2" i="6" s="1"/>
  <c r="D65" i="6"/>
  <c r="C65" i="6"/>
  <c r="D68" i="6"/>
  <c r="C68" i="6"/>
  <c r="C66" i="6"/>
  <c r="D66" i="6"/>
  <c r="D67" i="6"/>
  <c r="C67" i="6"/>
  <c r="S10" i="5"/>
  <c r="T6" i="5"/>
  <c r="T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<sst xmlns="http://schemas.openxmlformats.org/spreadsheetml/2006/main" count="22297" uniqueCount="15817">
  <si>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</si>
  <si>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</si>
  <si>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</si>
  <si>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</si>
  <si>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</si>
  <si>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</si>
  <si>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</si>
  <si>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</si>
  <si>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</si>
  <si>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</si>
  <si>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</si>
  <si>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</si>
  <si>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</si>
  <si>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</si>
  <si>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</si>
  <si>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</si>
  <si>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</si>
  <si>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</si>
  <si>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</si>
  <si>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</si>
  <si>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</si>
  <si>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</si>
  <si>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</si>
  <si>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</si>
  <si>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</si>
  <si>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</si>
  <si>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</si>
  <si>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</si>
  <si>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</si>
  <si>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</si>
  <si>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</si>
  <si>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</si>
  <si>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</si>
  <si>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</si>
  <si>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</si>
  <si>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</si>
  <si>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</si>
  <si>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</si>
  <si>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</si>
  <si>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</si>
  <si>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</si>
  <si>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</si>
  <si>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</si>
  <si>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</si>
  <si>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</si>
  <si>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</si>
  <si>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</si>
  <si>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</si>
  <si>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</si>
  <si>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</si>
  <si>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</si>
  <si>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</si>
  <si>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</si>
  <si>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</si>
  <si>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</si>
  <si>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</si>
  <si>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</si>
  <si>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</si>
  <si>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</si>
  <si>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</si>
  <si>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</si>
  <si>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</si>
  <si>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</si>
  <si>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</si>
  <si>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</si>
  <si>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</si>
  <si>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</si>
  <si>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</si>
  <si>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</si>
  <si>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</si>
  <si>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</si>
  <si>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</si>
  <si>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</si>
  <si>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</si>
  <si>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</si>
  <si>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</si>
  <si>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</si>
  <si>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</si>
  <si>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</si>
  <si>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</si>
  <si>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</si>
  <si>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</si>
  <si>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</si>
  <si>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</si>
  <si>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</si>
  <si>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</si>
  <si>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</si>
  <si>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</si>
  <si>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</si>
  <si>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</si>
  <si>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</si>
  <si>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</si>
  <si>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</si>
  <si>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</si>
  <si>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</si>
  <si>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</si>
  <si>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</si>
  <si>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</si>
  <si>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</si>
  <si>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</si>
  <si>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</si>
  <si>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</si>
  <si>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</si>
  <si>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</si>
  <si>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</si>
  <si>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</si>
  <si>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</si>
  <si>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</si>
  <si>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</si>
  <si>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</si>
  <si>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</si>
  <si>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</si>
  <si>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</si>
  <si>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</si>
  <si>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</si>
  <si>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</si>
  <si>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</si>
  <si>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</si>
  <si>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</si>
  <si>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</si>
  <si>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</si>
  <si>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</si>
  <si>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</si>
  <si>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</si>
  <si>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</si>
  <si>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</si>
  <si>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</si>
  <si>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</si>
  <si>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</si>
  <si>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</si>
  <si>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</si>
  <si>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</si>
  <si>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</si>
  <si>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</si>
  <si>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</si>
  <si>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</si>
  <si>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</si>
  <si>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</si>
  <si>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</si>
  <si>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</si>
  <si>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</si>
  <si>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</si>
  <si>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</si>
  <si>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</si>
  <si>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</si>
  <si>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</si>
  <si>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</si>
  <si>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</si>
  <si>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</si>
  <si>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</si>
  <si>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</si>
  <si>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</si>
  <si>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</si>
  <si>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</si>
  <si>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</si>
  <si>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</si>
  <si>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</si>
  <si>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</si>
  <si>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</si>
  <si>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</si>
  <si>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</si>
  <si>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</si>
  <si>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</si>
  <si>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</si>
  <si>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</si>
  <si>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</si>
  <si>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</si>
  <si>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</si>
  <si>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</si>
  <si>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</si>
  <si>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</si>
  <si>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</si>
  <si>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</si>
  <si>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</si>
  <si>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</si>
  <si>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</si>
  <si>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</si>
  <si>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</si>
  <si>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</si>
  <si>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</si>
  <si>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</si>
  <si>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</si>
  <si>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</si>
  <si>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</si>
  <si>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</si>
  <si>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</si>
  <si>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</si>
  <si>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</si>
  <si>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</si>
  <si>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</si>
  <si>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</si>
  <si>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</si>
  <si>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</si>
  <si>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</si>
  <si>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</si>
  <si>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</si>
  <si>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</si>
  <si>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</si>
  <si>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</si>
  <si>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</si>
  <si>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</si>
  <si>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</si>
  <si>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</si>
  <si>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</si>
  <si>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</si>
  <si>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</si>
  <si>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</si>
  <si>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</si>
  <si>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</si>
  <si>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</si>
  <si>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</si>
  <si>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</si>
  <si>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</si>
  <si>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</si>
  <si>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</si>
  <si>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</si>
  <si>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</si>
  <si>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</si>
  <si>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</si>
  <si>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</si>
  <si>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</si>
  <si>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</si>
  <si>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</si>
  <si>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</si>
  <si>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</si>
  <si>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</si>
  <si>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</si>
  <si>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</si>
  <si>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</si>
  <si>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</si>
  <si>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</si>
  <si>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</si>
  <si>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</si>
  <si>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</si>
  <si>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</si>
  <si>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</si>
  <si>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</si>
  <si>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</si>
  <si>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</si>
  <si>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</si>
  <si>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</si>
  <si>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</si>
  <si>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</si>
  <si>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</si>
  <si>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</si>
  <si>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</si>
  <si>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</si>
  <si>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</si>
  <si>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</si>
  <si>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</si>
  <si>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</si>
  <si>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</si>
  <si>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</si>
  <si>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</si>
  <si>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</si>
  <si>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</si>
  <si>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</si>
  <si>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</si>
  <si>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</si>
  <si>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</si>
  <si>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</si>
  <si>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</si>
  <si>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</si>
  <si>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</si>
  <si>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</si>
  <si>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</si>
  <si>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</si>
  <si>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</si>
  <si>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</si>
  <si>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</si>
  <si>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</si>
  <si>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</si>
  <si>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</si>
  <si>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</si>
  <si>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</si>
  <si>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</si>
  <si>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</si>
  <si>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</si>
  <si>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</si>
  <si>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</si>
  <si>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</si>
  <si>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</si>
  <si>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</si>
  <si>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</si>
  <si>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</si>
  <si>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</si>
  <si>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</si>
  <si>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</si>
  <si>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</si>
  <si>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</si>
  <si>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</si>
  <si>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</si>
  <si>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</si>
  <si>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</si>
  <si>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</si>
  <si>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</si>
  <si>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</si>
  <si>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</si>
  <si>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</si>
  <si>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</si>
  <si>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</si>
  <si>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</si>
  <si>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</si>
  <si>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</si>
  <si>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</si>
  <si>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</si>
  <si>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</si>
  <si>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</si>
  <si>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</si>
  <si>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</si>
  <si>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</si>
  <si>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</si>
  <si>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</si>
  <si>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</si>
  <si>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</si>
  <si>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</si>
  <si>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</si>
  <si>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</si>
  <si>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</si>
  <si>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</si>
  <si>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</si>
  <si>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</si>
  <si>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</si>
  <si>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</si>
  <si>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</si>
  <si>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</si>
  <si>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</si>
  <si>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</si>
  <si>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</si>
  <si>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</si>
  <si>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</si>
  <si>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</si>
  <si>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</si>
  <si>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</si>
  <si>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</si>
  <si>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</si>
  <si>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</si>
  <si>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</si>
  <si>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</si>
  <si>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</si>
  <si>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</si>
  <si>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</si>
  <si>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</si>
  <si>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</si>
  <si>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</si>
  <si>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</si>
  <si>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</si>
  <si>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</si>
  <si>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</si>
  <si>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</si>
  <si>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</si>
  <si>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</si>
  <si>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</si>
  <si>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</si>
  <si>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</si>
  <si>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</si>
  <si>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</si>
  <si>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</si>
  <si>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</si>
  <si>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</si>
  <si>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</si>
  <si>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</si>
  <si>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</si>
  <si>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</si>
  <si>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</si>
  <si>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</si>
  <si>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</si>
  <si>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</si>
  <si>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</si>
  <si>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</si>
  <si>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</si>
  <si>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</si>
  <si>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</si>
  <si>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</si>
  <si>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</si>
  <si>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</si>
  <si>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</si>
  <si>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</si>
  <si>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</si>
  <si>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</si>
  <si>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</si>
  <si>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</si>
  <si>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</si>
  <si>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</si>
  <si>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</si>
  <si>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</si>
  <si>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</si>
  <si>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</si>
  <si>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</si>
  <si>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</si>
  <si>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</si>
  <si>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</si>
  <si>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</si>
  <si>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</si>
  <si>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</si>
  <si>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</si>
  <si>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</si>
  <si>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</si>
  <si>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</si>
  <si>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</si>
  <si>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</si>
  <si>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</si>
  <si>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</si>
  <si>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</si>
  <si>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</si>
  <si>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</si>
  <si>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</si>
  <si>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</si>
  <si>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</si>
  <si>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</si>
  <si>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</si>
  <si>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</si>
  <si>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</si>
  <si>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</si>
  <si>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</si>
  <si>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</si>
  <si>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</si>
  <si>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</si>
  <si>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</si>
  <si>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</si>
  <si>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</si>
  <si>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</si>
  <si>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</si>
  <si>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</si>
  <si>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</si>
  <si>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</si>
  <si>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</si>
  <si>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</si>
  <si>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</si>
  <si>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</si>
  <si>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</si>
  <si>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</si>
  <si>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</si>
  <si>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</si>
  <si>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</si>
  <si>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</si>
  <si>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</si>
  <si>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</si>
  <si>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</si>
  <si>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</si>
  <si>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</si>
  <si>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</si>
  <si>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</si>
  <si>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</si>
  <si>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</si>
  <si>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</si>
  <si>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</si>
  <si>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</si>
  <si>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</si>
  <si>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</si>
  <si>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</si>
  <si>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</si>
  <si>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</si>
  <si>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</si>
  <si>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</si>
  <si>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</si>
  <si>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</si>
  <si>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</si>
  <si>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</si>
  <si>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</si>
  <si>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</si>
  <si>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</si>
  <si>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</si>
  <si>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</si>
  <si>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</si>
  <si>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</si>
  <si>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</si>
  <si>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</si>
  <si>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</si>
  <si>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</si>
  <si>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</si>
  <si>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</si>
  <si>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</si>
  <si>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</si>
  <si>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</si>
  <si>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</si>
  <si>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</si>
  <si>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</si>
  <si>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</si>
  <si>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</si>
  <si>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</si>
  <si>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</si>
  <si>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</si>
  <si>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</si>
  <si>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</si>
  <si>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</si>
  <si>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</si>
  <si>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</si>
  <si>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</si>
  <si>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</si>
  <si>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</si>
  <si>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</si>
  <si>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</si>
  <si>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</si>
  <si>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</si>
  <si>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</si>
  <si>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</si>
  <si>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</si>
  <si>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</si>
  <si>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</si>
  <si>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</si>
  <si>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</si>
  <si>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</si>
  <si>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</si>
  <si>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</si>
  <si>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</si>
  <si>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</si>
  <si>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</si>
  <si>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</si>
  <si>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</si>
  <si>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</si>
  <si>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</si>
  <si>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</si>
  <si>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</si>
  <si>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</si>
  <si>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</si>
  <si>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</si>
  <si>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</si>
  <si>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</si>
  <si>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</si>
  <si>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</si>
  <si>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</si>
  <si>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</si>
  <si>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</si>
  <si>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</si>
  <si>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</si>
  <si>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</si>
  <si>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</si>
  <si>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</si>
  <si>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</si>
  <si>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</si>
  <si>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</si>
  <si>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</si>
  <si>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</si>
  <si>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</si>
  <si>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</si>
  <si>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</si>
  <si>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</si>
  <si>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</si>
  <si>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</si>
  <si>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</si>
  <si>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</si>
  <si>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</si>
  <si>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</si>
  <si>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</si>
  <si>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</si>
  <si>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</si>
  <si>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</si>
  <si>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</si>
  <si>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</si>
  <si>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</si>
  <si>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</si>
  <si>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</si>
  <si>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</si>
  <si>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</si>
  <si>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</si>
  <si>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</si>
  <si>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</si>
  <si>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</si>
  <si>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</si>
  <si>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</si>
  <si>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</si>
  <si>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</si>
  <si>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</si>
  <si>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</si>
  <si>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</si>
  <si>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</si>
  <si>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</si>
  <si>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</si>
  <si>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</si>
  <si>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</si>
  <si>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</si>
  <si>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</si>
  <si>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</si>
  <si>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</si>
  <si>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</si>
  <si>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</si>
  <si>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</si>
  <si>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</si>
  <si>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</si>
  <si>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</si>
  <si>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</si>
  <si>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</si>
  <si>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</si>
  <si>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</si>
  <si>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</si>
  <si>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</si>
  <si>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</si>
  <si>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</si>
  <si>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</si>
  <si>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</si>
  <si>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</si>
  <si>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</si>
  <si>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</si>
  <si>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</si>
  <si>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</si>
  <si>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</si>
  <si>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</si>
  <si>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</si>
  <si>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</si>
  <si>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</si>
  <si>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</si>
  <si>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</si>
  <si>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</si>
  <si>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</si>
  <si>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</si>
  <si>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</si>
  <si>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</si>
  <si>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</si>
  <si>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</si>
  <si>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</si>
  <si>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</si>
  <si>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</si>
  <si>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</si>
  <si>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</si>
  <si>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</si>
  <si>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</si>
  <si>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</si>
  <si>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</si>
  <si>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</si>
  <si>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</si>
  <si>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</si>
  <si>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</si>
  <si>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</si>
  <si>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</si>
  <si>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</si>
  <si>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</si>
  <si>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</si>
  <si>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</si>
  <si>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</si>
  <si>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</si>
  <si>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</si>
  <si>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</si>
  <si>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</si>
  <si>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</si>
  <si>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</si>
  <si>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</si>
  <si>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</si>
  <si>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</si>
  <si>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</si>
  <si>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</si>
  <si>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</si>
  <si>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</si>
  <si>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</si>
  <si>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</si>
  <si>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</si>
  <si>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</si>
  <si>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</si>
  <si>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</si>
  <si>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</si>
  <si>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</si>
  <si>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</si>
  <si>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</si>
  <si>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</si>
  <si>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</si>
  <si>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</si>
  <si>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</si>
  <si>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</si>
  <si>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</si>
  <si>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</si>
  <si>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</si>
  <si>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</si>
  <si>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</si>
  <si>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</si>
  <si>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</si>
  <si>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</si>
  <si>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</si>
  <si>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</si>
  <si>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</si>
  <si>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</si>
  <si>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</si>
  <si>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</si>
  <si>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</si>
  <si>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</si>
  <si>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</si>
  <si>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</si>
  <si>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</si>
  <si>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</si>
  <si>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</si>
  <si>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</si>
  <si>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</si>
  <si>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</si>
  <si>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</si>
  <si>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</si>
  <si>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</si>
  <si>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</si>
  <si>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</si>
  <si>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</si>
  <si>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</si>
  <si>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</si>
  <si>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</si>
  <si>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</si>
  <si>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</si>
  <si>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</si>
  <si>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</si>
  <si>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</si>
  <si>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</si>
  <si>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</si>
  <si>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</si>
  <si>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</si>
  <si>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</si>
  <si>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</si>
  <si>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</si>
  <si>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</si>
  <si>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</si>
  <si>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</si>
  <si>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</si>
  <si>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</si>
  <si>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</si>
  <si>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</si>
  <si>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</si>
  <si>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</si>
  <si>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</si>
  <si>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</si>
  <si>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</si>
  <si>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</si>
  <si>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</si>
  <si>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</si>
  <si>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</si>
  <si>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</si>
  <si>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</si>
  <si>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</si>
  <si>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</si>
  <si>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</si>
  <si>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</si>
  <si>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</si>
  <si>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</si>
  <si>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</si>
  <si>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</si>
  <si>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</si>
  <si>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</si>
  <si>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</si>
  <si>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</si>
  <si>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</si>
  <si>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</si>
  <si>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</si>
  <si>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</si>
  <si>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</si>
  <si>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</si>
  <si>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</si>
  <si>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</si>
  <si>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</si>
  <si>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</si>
  <si>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</si>
  <si>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</si>
  <si>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</si>
  <si>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</si>
  <si>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</si>
  <si>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</si>
  <si>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</si>
  <si>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</si>
  <si>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</si>
  <si>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</si>
  <si>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</si>
  <si>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</si>
  <si>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</si>
  <si>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</si>
  <si>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</si>
  <si>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</si>
  <si>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</si>
  <si>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</si>
  <si>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</si>
  <si>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</si>
  <si>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</si>
  <si>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</si>
  <si>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</si>
  <si>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</si>
  <si>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</si>
  <si>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</si>
  <si>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</si>
  <si>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</si>
  <si>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</si>
  <si>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</si>
  <si>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</si>
  <si>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</si>
  <si>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</si>
  <si>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</si>
  <si>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</si>
  <si>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</si>
  <si>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</si>
  <si>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</si>
  <si>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</si>
  <si>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</si>
  <si>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</si>
  <si>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</si>
  <si>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</si>
  <si>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</si>
  <si>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</si>
  <si>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</si>
  <si>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</si>
  <si>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</si>
  <si>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</si>
  <si>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</si>
  <si>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</si>
  <si>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</si>
  <si>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</si>
  <si>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</si>
  <si>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</si>
  <si>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</si>
  <si>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</si>
  <si>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</si>
  <si>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</si>
  <si>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</si>
  <si>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</si>
  <si>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</si>
  <si>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</si>
  <si>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</si>
  <si>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</si>
  <si>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</si>
  <si>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</si>
  <si>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</si>
  <si>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</si>
  <si>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</si>
  <si>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</si>
  <si>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</si>
  <si>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</si>
  <si>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</si>
  <si>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</si>
  <si>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</si>
  <si>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</si>
  <si>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</si>
  <si>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</si>
  <si>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</si>
  <si>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</si>
  <si>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</si>
  <si>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</si>
  <si>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</si>
  <si>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</si>
  <si>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</si>
  <si>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</si>
  <si>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</si>
  <si>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</si>
  <si>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</si>
  <si>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</si>
  <si>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</si>
  <si>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</si>
  <si>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</si>
  <si>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</si>
  <si>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</si>
  <si>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</si>
  <si>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</si>
  <si>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</si>
  <si>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</si>
  <si>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</si>
  <si>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</si>
  <si>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</si>
  <si>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</si>
  <si>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</si>
  <si>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</si>
  <si>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</si>
  <si>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</si>
  <si>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</si>
  <si>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</si>
  <si>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</si>
  <si>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</si>
  <si>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</si>
  <si>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</si>
  <si>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</si>
  <si>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</si>
  <si>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</si>
  <si>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</si>
  <si>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</si>
  <si>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</si>
  <si>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</si>
  <si>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</si>
  <si>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</si>
  <si>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</si>
  <si>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</si>
  <si>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</si>
  <si>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</si>
  <si>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</si>
  <si>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</si>
  <si>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</si>
  <si>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</si>
  <si>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</si>
  <si>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</si>
  <si>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</si>
  <si>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</si>
  <si>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</si>
  <si>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</si>
  <si>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</si>
  <si>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</si>
  <si>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</si>
  <si>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</si>
  <si>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</si>
  <si>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</si>
  <si>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</si>
  <si>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</si>
  <si>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</si>
  <si>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</si>
  <si>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</si>
  <si>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</si>
  <si>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</si>
  <si>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</si>
  <si>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</si>
  <si>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</si>
  <si>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</si>
  <si>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</si>
  <si>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</si>
  <si>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</si>
  <si>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</si>
  <si>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</si>
  <si>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</si>
  <si>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</si>
  <si>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</si>
  <si>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</si>
  <si>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</si>
  <si>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</si>
  <si>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</si>
  <si>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</si>
  <si>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</si>
  <si>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</si>
  <si>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</si>
  <si>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</si>
  <si>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</si>
  <si>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</si>
  <si>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</si>
  <si>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</si>
  <si>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</si>
  <si>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</si>
  <si>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</si>
  <si>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</si>
  <si>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</si>
  <si>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</si>
  <si>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</si>
  <si>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</si>
  <si>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</si>
  <si>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</si>
  <si>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</si>
  <si>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</si>
  <si>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</si>
  <si>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</si>
  <si>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</si>
  <si>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</si>
  <si>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</si>
  <si>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</si>
  <si>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</si>
  <si>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</si>
  <si>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</si>
  <si>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</si>
  <si>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</si>
  <si>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</si>
  <si>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</si>
  <si>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</si>
  <si>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</si>
  <si>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</si>
  <si>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</si>
  <si>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</si>
  <si>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</si>
  <si>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</si>
  <si>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</si>
  <si>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</si>
  <si>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</si>
  <si>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</si>
  <si>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</si>
  <si>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</si>
  <si>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</si>
  <si>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</si>
  <si>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</si>
  <si>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</si>
  <si>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</si>
  <si>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</si>
  <si>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</si>
  <si>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</si>
  <si>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</si>
  <si>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</si>
  <si>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</si>
  <si>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</si>
  <si>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</si>
  <si>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</si>
  <si>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</si>
  <si>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</si>
  <si>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</si>
  <si>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</si>
  <si>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</si>
  <si>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</si>
  <si>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</si>
  <si>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</si>
  <si>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</si>
  <si>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</si>
  <si>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</si>
  <si>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</si>
  <si>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</si>
  <si>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</si>
  <si>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</si>
  <si>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</si>
  <si>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</si>
  <si>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</si>
  <si>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</si>
  <si>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</si>
  <si>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</si>
  <si>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</si>
  <si>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</si>
  <si>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</si>
  <si>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</si>
  <si>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</si>
  <si>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</si>
  <si>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</si>
  <si>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</si>
  <si>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</si>
  <si>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</si>
  <si>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</si>
  <si>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</si>
  <si>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</si>
  <si>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</si>
  <si>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</si>
  <si>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</si>
  <si>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</si>
  <si>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</si>
  <si>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</si>
  <si>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</si>
  <si>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</si>
  <si>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</si>
  <si>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</si>
  <si>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</si>
  <si>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</si>
  <si>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</si>
  <si>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</si>
  <si>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</si>
  <si>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</si>
  <si>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</si>
  <si>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</si>
  <si>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</si>
  <si>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</si>
  <si>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</si>
  <si>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</si>
  <si>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</si>
  <si>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</si>
  <si>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</si>
  <si>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</si>
  <si>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</si>
  <si>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</si>
  <si>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</si>
  <si>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</si>
  <si>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</si>
  <si>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</si>
  <si>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</si>
  <si>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</si>
  <si>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</si>
  <si>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</si>
  <si>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</si>
  <si>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</si>
  <si>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</si>
  <si>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</si>
  <si>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</si>
  <si>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</si>
  <si>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</si>
  <si>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</si>
  <si>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</si>
  <si>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</si>
  <si>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</si>
  <si>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</si>
  <si>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</si>
  <si>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</si>
  <si>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</si>
  <si>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</si>
  <si>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</si>
  <si>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</si>
  <si>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</si>
  <si>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</si>
  <si>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</si>
  <si>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</si>
  <si>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</si>
  <si>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</si>
  <si>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</si>
  <si>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</si>
  <si>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</si>
  <si>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</si>
  <si>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</si>
  <si>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</si>
  <si>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</si>
  <si>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</si>
  <si>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</si>
  <si>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</si>
  <si>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</si>
  <si>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</si>
  <si>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</si>
  <si>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</si>
  <si>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</si>
  <si>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</si>
  <si>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</si>
  <si>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</si>
  <si>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</si>
  <si>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</si>
  <si>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</si>
  <si>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</si>
  <si>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</si>
  <si>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</si>
  <si>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</si>
  <si>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</si>
  <si>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</si>
  <si>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</si>
  <si>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</si>
  <si>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</si>
  <si>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</si>
  <si>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</si>
  <si>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</si>
  <si>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</si>
  <si>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</si>
  <si>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</si>
  <si>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</si>
  <si>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</si>
  <si>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</si>
  <si>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</si>
  <si>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</si>
  <si>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</si>
  <si>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</si>
  <si>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</si>
  <si>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</si>
  <si>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</si>
  <si>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</si>
  <si>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</si>
  <si>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</si>
  <si>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</si>
  <si>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</si>
  <si>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</si>
  <si>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</si>
  <si>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</si>
  <si>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</si>
  <si>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</si>
  <si>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</si>
  <si>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</si>
  <si>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</si>
  <si>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</si>
  <si>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</si>
  <si>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</si>
  <si>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</si>
  <si>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</si>
  <si>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</si>
  <si>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</si>
  <si>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</si>
  <si>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</si>
  <si>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</si>
  <si>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</si>
  <si>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</si>
  <si>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</si>
  <si>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</si>
  <si>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</si>
  <si>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</si>
  <si>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</si>
  <si>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</si>
  <si>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</si>
  <si>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</si>
  <si>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</si>
  <si>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</si>
  <si>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</si>
  <si>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</si>
  <si>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</si>
  <si>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</si>
  <si>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</si>
  <si>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</si>
  <si>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</si>
  <si>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</si>
  <si>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</si>
  <si>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</si>
  <si>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</si>
  <si>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</si>
  <si>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</si>
  <si>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</si>
  <si>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</si>
  <si>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</si>
  <si>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</si>
  <si>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</si>
  <si>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</si>
  <si>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</si>
  <si>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</si>
  <si>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</si>
  <si>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</si>
  <si>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</si>
  <si>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</si>
  <si>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</si>
  <si>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</si>
  <si>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</si>
  <si>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</si>
  <si>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</si>
  <si>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</si>
  <si>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</si>
  <si>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</si>
  <si>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</si>
  <si>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</si>
  <si>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</si>
  <si>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</si>
  <si>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</si>
  <si>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</si>
  <si>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</si>
  <si>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</si>
  <si>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</si>
  <si>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</si>
  <si>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</si>
  <si>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</si>
  <si>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</si>
  <si>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</si>
  <si>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</si>
  <si>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</si>
  <si>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</si>
  <si>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</si>
  <si>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</si>
  <si>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</si>
  <si>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</si>
  <si>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</si>
  <si>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</si>
  <si>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</si>
  <si>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</si>
  <si>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</si>
  <si>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</si>
  <si>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</si>
  <si>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</si>
  <si>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</si>
  <si>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</si>
  <si>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</si>
  <si>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</si>
  <si>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</si>
  <si>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</si>
  <si>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</si>
  <si>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</si>
  <si>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</si>
  <si>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</si>
  <si>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</si>
  <si>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</si>
  <si>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</si>
  <si>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</si>
  <si>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</si>
  <si>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</si>
  <si>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</si>
  <si>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</si>
  <si>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</si>
  <si>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</si>
  <si>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</si>
  <si>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</si>
  <si>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</si>
  <si>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</si>
  <si>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</si>
  <si>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</si>
  <si>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</si>
  <si>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</si>
  <si>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</si>
  <si>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</si>
  <si>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</si>
  <si>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</si>
  <si>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</si>
  <si>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</si>
  <si>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</si>
  <si>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</si>
  <si>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</si>
  <si>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</si>
  <si>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</si>
  <si>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</si>
  <si>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</si>
  <si>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</si>
  <si>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</si>
  <si>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</si>
  <si>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</si>
  <si>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</si>
  <si>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</si>
  <si>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</si>
  <si>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</si>
  <si>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</si>
  <si>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</si>
  <si>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</si>
  <si>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</si>
  <si>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</si>
  <si>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</si>
  <si>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</si>
  <si>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</si>
  <si>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</si>
  <si>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</si>
  <si>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</si>
  <si>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</si>
  <si>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</si>
  <si>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</si>
  <si>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</si>
  <si>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</si>
  <si>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</si>
  <si>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</si>
  <si>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</si>
  <si>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</si>
  <si>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</si>
  <si>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</si>
  <si>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</si>
  <si>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</si>
  <si>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</si>
  <si>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</si>
  <si>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</si>
  <si>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</si>
  <si>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</si>
  <si>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</si>
  <si>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</si>
  <si>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</si>
  <si>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</si>
  <si>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</si>
  <si>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</si>
  <si>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</si>
  <si>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</si>
  <si>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</si>
  <si>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</si>
  <si>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</si>
  <si>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</si>
  <si>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</si>
  <si>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</si>
  <si>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</si>
  <si>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</si>
  <si>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</si>
  <si>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</si>
  <si>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</si>
  <si>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</si>
  <si>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</si>
  <si>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</si>
  <si>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</si>
  <si>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</si>
  <si>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</si>
  <si>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</si>
  <si>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</si>
  <si>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</si>
  <si>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</si>
  <si>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</si>
  <si>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</si>
  <si>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</si>
  <si>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</si>
  <si>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</si>
  <si>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</si>
  <si>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</si>
  <si>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</si>
  <si>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</si>
  <si>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</si>
  <si>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</si>
  <si>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</si>
  <si>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</si>
  <si>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</si>
  <si>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</si>
  <si>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</si>
  <si>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</si>
  <si>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</si>
  <si>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</si>
  <si>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</si>
  <si>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</si>
  <si>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</si>
  <si>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</si>
  <si>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</si>
  <si>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</si>
  <si>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</si>
  <si>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</si>
  <si>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</si>
  <si>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</si>
  <si>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</si>
  <si>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</si>
  <si>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</si>
  <si>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</si>
  <si>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</si>
  <si>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</si>
  <si>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</si>
  <si>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</si>
  <si>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</si>
  <si>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</si>
  <si>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</si>
  <si>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</si>
  <si>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</si>
  <si>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</si>
  <si>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</si>
  <si>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</si>
  <si>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</si>
  <si>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</si>
  <si>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</si>
  <si>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</si>
  <si>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</si>
  <si>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</si>
  <si>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</si>
  <si>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</si>
  <si>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</si>
  <si>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</si>
  <si>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</si>
  <si>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</si>
  <si>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</si>
  <si>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</si>
  <si>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</si>
  <si>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</si>
  <si>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</si>
  <si>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</si>
  <si>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</si>
  <si>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</si>
  <si>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</si>
  <si>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</si>
  <si>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</si>
  <si>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</si>
  <si>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</si>
  <si>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</si>
  <si>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</si>
  <si>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</si>
  <si>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</si>
  <si>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</si>
  <si>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</si>
  <si>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</si>
  <si>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</si>
  <si>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</si>
  <si>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</si>
  <si>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</si>
  <si>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</si>
  <si>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</si>
  <si>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</si>
  <si>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</si>
  <si>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</si>
  <si>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</si>
  <si>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</si>
  <si>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</si>
  <si>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</si>
  <si>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</si>
  <si>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</si>
  <si>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</si>
  <si>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</si>
  <si>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</si>
  <si>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</si>
  <si>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</si>
  <si>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</si>
  <si>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</si>
  <si>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</si>
  <si>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</si>
  <si>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</si>
  <si>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</si>
  <si>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</si>
  <si>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</si>
  <si>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</si>
  <si>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</si>
  <si>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</si>
  <si>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</si>
  <si>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</si>
  <si>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</si>
  <si>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</si>
  <si>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</si>
  <si>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</si>
  <si>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</si>
  <si>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</si>
  <si>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</si>
  <si>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</si>
  <si>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</si>
  <si>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</si>
  <si>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</si>
  <si>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</si>
  <si>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</si>
  <si>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</si>
  <si>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</si>
  <si>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</si>
  <si>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</si>
  <si>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</si>
  <si>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</si>
  <si>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</si>
  <si>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</si>
  <si>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</si>
  <si>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</si>
  <si>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</si>
  <si>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</si>
  <si>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</si>
  <si>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</si>
  <si>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</si>
  <si>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</si>
  <si>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</si>
  <si>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</si>
  <si>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</si>
  <si>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</si>
  <si>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</si>
  <si>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</si>
  <si>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</si>
  <si>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</si>
  <si>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</si>
  <si>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</si>
  <si>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</si>
  <si>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</si>
  <si>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</si>
  <si>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</si>
  <si>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</si>
  <si>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</si>
  <si>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</si>
  <si>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</si>
  <si>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</si>
  <si>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</si>
  <si>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</si>
  <si>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</si>
  <si>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</si>
  <si>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</si>
  <si>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</si>
  <si>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</si>
  <si>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</si>
  <si>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</si>
  <si>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</si>
  <si>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</si>
  <si>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</si>
  <si>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</si>
  <si>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</si>
  <si>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</si>
  <si>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</si>
  <si>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</si>
  <si>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</si>
  <si>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</si>
  <si>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</si>
  <si>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</si>
  <si>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</si>
  <si>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</si>
  <si>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</si>
  <si>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</si>
  <si>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</si>
  <si>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</si>
  <si>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</si>
  <si>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</si>
  <si>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</si>
  <si>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</si>
  <si>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</si>
  <si>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</si>
  <si>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</si>
  <si>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</si>
  <si>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</si>
  <si>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</si>
  <si>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</si>
  <si>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</si>
  <si>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</si>
  <si>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</si>
  <si>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</si>
  <si>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</si>
  <si>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</si>
  <si>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</si>
  <si>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</si>
  <si>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</si>
  <si>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</si>
  <si>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</si>
  <si>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</si>
  <si>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</si>
  <si>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</si>
  <si>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</si>
  <si>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</si>
  <si>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</si>
  <si>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</si>
  <si>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</si>
  <si>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</si>
  <si>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</si>
  <si>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</si>
  <si>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</si>
  <si>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</si>
  <si>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</si>
  <si>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</si>
  <si>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</si>
  <si>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</si>
  <si>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</si>
  <si>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</si>
  <si>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</si>
  <si>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</si>
  <si>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</si>
  <si>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</si>
  <si>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</si>
  <si>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</si>
  <si>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</si>
  <si>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</si>
  <si>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</si>
  <si>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</si>
  <si>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</si>
  <si>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</si>
  <si>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</si>
  <si>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</si>
  <si>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</si>
  <si>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</si>
  <si>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</si>
  <si>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</si>
  <si>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</si>
  <si>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</si>
  <si>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</si>
  <si>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</si>
  <si>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</si>
  <si>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</si>
  <si>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</si>
  <si>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</si>
  <si>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</si>
  <si>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</si>
  <si>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</si>
  <si>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</si>
  <si>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</si>
  <si>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</si>
  <si>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</si>
  <si>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</si>
  <si>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</si>
  <si>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</si>
  <si>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</si>
  <si>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</si>
  <si>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</si>
  <si>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</si>
  <si>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</si>
  <si>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</si>
  <si>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</si>
  <si>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</si>
  <si>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</si>
  <si>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</si>
  <si>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</si>
  <si>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</si>
  <si>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</si>
  <si>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</si>
  <si>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</si>
  <si>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</si>
  <si>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</si>
  <si>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</si>
  <si>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</si>
  <si>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</si>
  <si>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</si>
  <si>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</si>
  <si>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</si>
  <si>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</si>
  <si>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</si>
  <si>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</si>
  <si>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</si>
  <si>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</si>
  <si>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</si>
  <si>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</si>
  <si>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</si>
  <si>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</si>
  <si>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</si>
  <si>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</si>
  <si>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</si>
  <si>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</si>
  <si>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</si>
  <si>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</si>
  <si>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</si>
  <si>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</si>
  <si>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</si>
  <si>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</si>
  <si>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</si>
  <si>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</si>
  <si>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</si>
  <si>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</si>
  <si>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</si>
  <si>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</si>
  <si>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</si>
  <si>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</si>
  <si>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</si>
  <si>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</si>
  <si>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</si>
  <si>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</si>
  <si>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</si>
  <si>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</si>
  <si>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</si>
  <si>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</si>
  <si>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</si>
  <si>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</si>
  <si>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</si>
  <si>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</si>
  <si>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</si>
  <si>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</si>
  <si>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</si>
  <si>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</si>
  <si>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</si>
  <si>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</si>
  <si>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</si>
  <si>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</si>
  <si>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</si>
  <si>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</si>
  <si>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</si>
  <si>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</si>
  <si>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</si>
  <si>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</si>
  <si>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</si>
  <si>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</si>
  <si>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</si>
  <si>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</si>
  <si>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</si>
  <si>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</si>
  <si>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</si>
  <si>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</si>
  <si>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</si>
  <si>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</si>
  <si>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</si>
  <si>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</si>
  <si>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</si>
  <si>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</si>
  <si>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</si>
  <si>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</si>
  <si>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</si>
  <si>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</si>
  <si>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</si>
  <si>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</si>
  <si>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</si>
  <si>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</si>
  <si>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</si>
  <si>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</si>
  <si>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</si>
  <si>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</si>
  <si>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</si>
  <si>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</si>
  <si>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</si>
  <si>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</si>
  <si>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</si>
  <si>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</si>
  <si>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</si>
  <si>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</si>
  <si>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</si>
  <si>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</si>
  <si>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</si>
  <si>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</si>
  <si>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</si>
  <si>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</si>
  <si>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</si>
  <si>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</si>
  <si>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</si>
  <si>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</si>
  <si>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</si>
  <si>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</si>
  <si>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</si>
  <si>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</si>
  <si>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</si>
  <si>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</si>
  <si>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</si>
  <si>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</si>
  <si>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</si>
  <si>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</si>
  <si>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</si>
  <si>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</si>
  <si>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</si>
  <si>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</si>
  <si>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</si>
  <si>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</si>
  <si>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</si>
  <si>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</si>
  <si>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</si>
  <si>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</si>
  <si>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</si>
  <si>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</si>
  <si>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</si>
  <si>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</si>
  <si>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</si>
  <si>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</si>
  <si>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</si>
  <si>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</si>
  <si>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</si>
  <si>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</si>
  <si>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</si>
  <si>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</si>
  <si>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</si>
  <si>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</si>
  <si>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</si>
  <si>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</si>
  <si>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</si>
  <si>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</si>
  <si>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</si>
  <si>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</si>
  <si>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</si>
  <si>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</si>
  <si>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</si>
  <si>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</si>
  <si>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</si>
  <si>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</si>
  <si>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</si>
  <si>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</si>
  <si>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</si>
  <si>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</si>
  <si>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</si>
  <si>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</si>
  <si>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</si>
  <si>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</si>
  <si>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</si>
  <si>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</si>
  <si>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</si>
  <si>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</si>
  <si>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</si>
  <si>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</si>
  <si>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</si>
  <si>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</si>
  <si>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</si>
  <si>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</si>
  <si>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</si>
  <si>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</si>
  <si>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</si>
  <si>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</si>
  <si>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</si>
  <si>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</si>
  <si>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</si>
  <si>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</si>
  <si>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</si>
  <si>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</si>
  <si>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</si>
  <si>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</si>
  <si>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</si>
  <si>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</si>
  <si>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</si>
  <si>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</si>
  <si>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</si>
  <si>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</si>
  <si>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</si>
  <si>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</si>
  <si>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</si>
  <si>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</si>
  <si>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</si>
  <si>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</si>
  <si>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</si>
  <si>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</si>
  <si>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</si>
  <si>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</si>
  <si>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</si>
  <si>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</si>
  <si>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</si>
  <si>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</si>
  <si>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</si>
  <si>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</si>
  <si>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</si>
  <si>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</si>
  <si>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</si>
  <si>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</si>
  <si>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</si>
  <si>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</si>
  <si>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</si>
  <si>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</si>
  <si>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</si>
  <si>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</si>
  <si>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</si>
  <si>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</si>
  <si>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</si>
  <si>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</si>
  <si>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</si>
  <si>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</si>
  <si>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</si>
  <si>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</si>
  <si>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</si>
  <si>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</si>
  <si>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</si>
  <si>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</si>
  <si>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</si>
  <si>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</si>
  <si>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</si>
  <si>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</si>
  <si>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</si>
  <si>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</si>
  <si>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</si>
  <si>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</si>
  <si>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</si>
  <si>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</si>
  <si>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</si>
  <si>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</si>
  <si>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</si>
  <si>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</si>
  <si>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</si>
  <si>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</si>
  <si>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</si>
  <si>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</si>
  <si>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</si>
  <si>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</si>
  <si>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</si>
  <si>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</si>
  <si>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</si>
  <si>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</si>
  <si>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</si>
  <si>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</si>
  <si>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</si>
  <si>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</si>
  <si>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</si>
  <si>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</si>
  <si>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</si>
  <si>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</si>
  <si>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</si>
  <si>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</si>
  <si>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</si>
  <si>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</si>
  <si>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</si>
  <si>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</si>
  <si>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</si>
  <si>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</si>
  <si>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</si>
  <si>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</si>
  <si>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</si>
  <si>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</si>
  <si>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</si>
  <si>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</si>
  <si>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</si>
  <si>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</si>
  <si>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</si>
  <si>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</si>
  <si>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</si>
  <si>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</si>
  <si>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</si>
  <si>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</si>
  <si>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</si>
  <si>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</si>
  <si>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</si>
  <si>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</si>
  <si>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</si>
  <si>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</si>
  <si>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</si>
  <si>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</si>
  <si>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</si>
  <si>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</si>
  <si>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</si>
  <si>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</si>
  <si>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</si>
  <si>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</si>
  <si>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</si>
  <si>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</si>
  <si>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</si>
  <si>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</si>
  <si>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</si>
  <si>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</si>
  <si>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</si>
  <si>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</si>
  <si>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</si>
  <si>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</si>
  <si>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</si>
  <si>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</si>
  <si>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</si>
  <si>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</si>
  <si>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</si>
  <si>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</si>
  <si>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</si>
  <si>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</si>
  <si>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</si>
  <si>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</si>
  <si>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</si>
  <si>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</si>
  <si>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</si>
  <si>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</si>
  <si>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</si>
  <si>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</si>
  <si>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</si>
  <si>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</si>
  <si>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</si>
  <si>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</si>
  <si>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</si>
  <si>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</si>
  <si>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</si>
  <si>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</si>
  <si>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</si>
  <si>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</si>
  <si>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</si>
  <si>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</si>
  <si>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</si>
  <si>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</si>
  <si>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</si>
  <si>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</si>
  <si>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</si>
  <si>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</si>
  <si>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</si>
  <si>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</si>
  <si>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</si>
  <si>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</si>
  <si>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</si>
  <si>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</si>
  <si>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</si>
  <si>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</si>
  <si>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</si>
  <si>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</si>
  <si>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</si>
  <si>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</si>
  <si>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</si>
  <si>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</si>
  <si>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</si>
  <si>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</si>
  <si>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</si>
  <si>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</si>
  <si>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</si>
  <si>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</si>
  <si>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</si>
  <si>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</si>
  <si>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</si>
  <si>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</si>
  <si>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</si>
  <si>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</si>
  <si>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</si>
  <si>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</si>
  <si>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</si>
  <si>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</si>
  <si>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</si>
  <si>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</si>
  <si>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</si>
  <si>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</si>
  <si>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</si>
  <si>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</si>
  <si>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</si>
  <si>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</si>
  <si>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</si>
  <si>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</si>
  <si>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</si>
  <si>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</si>
  <si>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</si>
  <si>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</si>
  <si>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</si>
  <si>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</si>
  <si>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</si>
  <si>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</si>
  <si>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</si>
  <si>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</si>
  <si>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</si>
  <si>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</si>
  <si>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</si>
  <si>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</si>
  <si>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</si>
  <si>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</si>
  <si>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</si>
  <si>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</si>
  <si>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</si>
  <si>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</si>
  <si>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</si>
  <si>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</si>
  <si>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</si>
  <si>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</si>
  <si>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</si>
  <si>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</si>
  <si>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</si>
  <si>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</si>
  <si>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</si>
  <si>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</si>
  <si>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</si>
  <si>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</si>
  <si>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</si>
  <si>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</si>
  <si>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</si>
  <si>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</si>
  <si>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</si>
  <si>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</si>
  <si>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</si>
  <si>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</si>
  <si>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</si>
  <si>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</si>
  <si>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</si>
  <si>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</si>
  <si>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</si>
  <si>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</si>
  <si>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</si>
  <si>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</si>
  <si>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</si>
  <si>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</si>
  <si>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</si>
  <si>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</si>
  <si>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</si>
  <si>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</si>
  <si>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</si>
  <si>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</si>
  <si>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</si>
  <si>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</si>
  <si>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</si>
  <si>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</si>
  <si>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</si>
  <si>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</si>
  <si>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</si>
  <si>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</si>
  <si>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</si>
  <si>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</si>
  <si>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</si>
  <si>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</si>
  <si>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</si>
  <si>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</si>
  <si>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</si>
  <si>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</si>
  <si>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</si>
  <si>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</si>
  <si>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</si>
  <si>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</si>
  <si>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</si>
  <si>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</si>
  <si>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</si>
  <si>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</si>
  <si>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</si>
  <si>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</si>
  <si>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</si>
  <si>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</si>
  <si>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</si>
  <si>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</si>
  <si>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</si>
  <si>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</si>
  <si>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</si>
  <si>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</si>
  <si>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</si>
  <si>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</si>
  <si>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</si>
  <si>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</si>
  <si>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</si>
  <si>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</si>
  <si>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</si>
  <si>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</si>
  <si>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</si>
  <si>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</si>
  <si>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</si>
  <si>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</si>
  <si>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</si>
  <si>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</si>
  <si>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</si>
  <si>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</si>
  <si>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</si>
  <si>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</si>
  <si>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</si>
  <si>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</si>
  <si>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</si>
  <si>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</si>
  <si>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</si>
  <si>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</si>
  <si>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</si>
  <si>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</si>
  <si>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</si>
  <si>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</si>
  <si>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</si>
  <si>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</si>
  <si>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</si>
  <si>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</si>
  <si>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</si>
  <si>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</si>
  <si>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</si>
  <si>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</si>
  <si>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</si>
  <si>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</si>
  <si>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</si>
  <si>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</si>
  <si>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</si>
  <si>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</si>
  <si>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</si>
  <si>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</si>
  <si>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</si>
  <si>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</si>
  <si>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</si>
  <si>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</si>
  <si>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</si>
  <si>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</si>
  <si>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</si>
  <si>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</si>
  <si>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</si>
  <si>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</si>
  <si>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</si>
  <si>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</si>
  <si>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</si>
  <si>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</si>
  <si>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</si>
  <si>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</si>
  <si>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</si>
  <si>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</si>
  <si>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</si>
  <si>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</si>
  <si>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</si>
  <si>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</si>
  <si>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</si>
  <si>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</si>
  <si>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</si>
  <si>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</si>
  <si>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</si>
  <si>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</si>
  <si>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</si>
  <si>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</si>
  <si>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</si>
  <si>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</si>
  <si>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</si>
  <si>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</si>
  <si>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</si>
  <si>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</si>
  <si>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</si>
  <si>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</si>
  <si>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</si>
  <si>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</si>
  <si>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</si>
  <si>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</si>
  <si>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</si>
  <si>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</si>
  <si>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</si>
  <si>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</si>
  <si>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</si>
  <si>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</si>
  <si>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</si>
  <si>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</si>
  <si>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</si>
  <si>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</si>
  <si>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</si>
  <si>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</si>
  <si>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</si>
  <si>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</si>
  <si>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</si>
  <si>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</si>
  <si>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</si>
  <si>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</si>
  <si>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</si>
  <si>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</si>
  <si>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</si>
  <si>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</si>
  <si>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</si>
  <si>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</si>
  <si>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</si>
  <si>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</si>
  <si>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</si>
  <si>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</si>
  <si>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</si>
  <si>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</si>
  <si>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</si>
  <si>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</si>
  <si>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</si>
  <si>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</si>
  <si>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</si>
  <si>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</si>
  <si>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</si>
  <si>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</si>
  <si>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</si>
  <si>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</si>
  <si>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</si>
  <si>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</si>
  <si>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</si>
  <si>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</si>
  <si>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</si>
  <si>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</si>
  <si>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</si>
  <si>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</si>
  <si>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</si>
  <si>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</si>
  <si>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</si>
  <si>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</si>
  <si>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</si>
  <si>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</si>
  <si>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</si>
  <si>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</si>
  <si>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</si>
  <si>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</si>
  <si>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</si>
  <si>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</si>
  <si>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</si>
  <si>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</si>
  <si>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</si>
  <si>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</si>
  <si>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</si>
  <si>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</si>
  <si>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</si>
  <si>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</si>
  <si>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</si>
  <si>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</si>
  <si>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</si>
  <si>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</si>
  <si>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</si>
  <si>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</si>
  <si>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</si>
  <si>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</si>
  <si>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</si>
  <si>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</si>
  <si>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</si>
  <si>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</si>
  <si>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</si>
  <si>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</si>
  <si>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</si>
  <si>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</si>
  <si>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</si>
  <si>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</si>
  <si>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</si>
  <si>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</si>
  <si>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</si>
  <si>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</si>
  <si>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</si>
  <si>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</si>
  <si>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</si>
  <si>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</si>
  <si>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</si>
  <si>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</si>
  <si>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</si>
  <si>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</si>
  <si>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</si>
  <si>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</si>
  <si>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</si>
  <si>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</si>
  <si>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</si>
  <si>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</si>
  <si>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</si>
  <si>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</si>
  <si>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</si>
  <si>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</si>
  <si>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</si>
  <si>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</si>
  <si>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</si>
  <si>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</si>
  <si>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</si>
  <si>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</si>
  <si>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</si>
  <si>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</si>
  <si>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</si>
  <si>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</si>
  <si>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</si>
  <si>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</si>
  <si>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</si>
  <si>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</si>
  <si>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</si>
  <si>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</si>
  <si>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</si>
  <si>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</si>
  <si>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</si>
  <si>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</si>
  <si>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</si>
  <si>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</si>
  <si>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</si>
  <si>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</si>
  <si>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</si>
  <si>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</si>
  <si>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</si>
  <si>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</si>
  <si>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</si>
  <si>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</si>
  <si>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</si>
  <si>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</si>
  <si>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</si>
  <si>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</si>
  <si>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</si>
  <si>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</si>
  <si>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</si>
  <si>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</si>
  <si>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</si>
  <si>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</si>
  <si>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</si>
  <si>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</si>
  <si>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</si>
  <si>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</si>
  <si>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</si>
  <si>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</si>
  <si>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</si>
  <si>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</si>
  <si>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</si>
  <si>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</si>
  <si>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</si>
  <si>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</si>
  <si>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</si>
  <si>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</si>
  <si>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</si>
  <si>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</si>
  <si>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</si>
  <si>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</si>
  <si>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</si>
  <si>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</si>
  <si>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</si>
  <si>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</si>
  <si>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</si>
  <si>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</si>
  <si>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</si>
  <si>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</si>
  <si>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</si>
  <si>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</si>
  <si>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</si>
  <si>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</si>
  <si>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</si>
  <si>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</si>
  <si>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</si>
  <si>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</si>
  <si>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</si>
  <si>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</si>
  <si>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</si>
  <si>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</si>
  <si>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</si>
  <si>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</si>
  <si>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</si>
  <si>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</si>
  <si>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</si>
  <si>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</si>
  <si>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</si>
  <si>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</si>
  <si>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</si>
  <si>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</si>
  <si>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</si>
  <si>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</si>
  <si>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</si>
  <si>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</si>
  <si>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</si>
  <si>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</si>
  <si>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</si>
  <si>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</si>
  <si>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</si>
  <si>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</si>
  <si>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</si>
  <si>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</si>
  <si>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</si>
  <si>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</si>
  <si>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</si>
  <si>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</si>
  <si>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</si>
  <si>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</si>
  <si>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</si>
  <si>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</si>
  <si>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</si>
  <si>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</si>
  <si>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</si>
  <si>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</si>
  <si>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</si>
  <si>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</si>
  <si>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</si>
  <si>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</si>
  <si>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</si>
  <si>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</si>
  <si>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</si>
  <si>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</si>
  <si>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</si>
  <si>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</si>
  <si>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</si>
  <si>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</si>
  <si>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</si>
  <si>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</si>
  <si>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</si>
  <si>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</si>
  <si>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</si>
  <si>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</si>
  <si>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</si>
  <si>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</si>
  <si>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</si>
  <si>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</si>
  <si>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</si>
  <si>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</si>
  <si>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</si>
  <si>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</si>
  <si>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</si>
  <si>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</si>
  <si>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</si>
  <si>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</si>
  <si>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</si>
  <si>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</si>
  <si>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</si>
  <si>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</si>
  <si>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</si>
  <si>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</si>
  <si>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</si>
  <si>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</si>
  <si>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</si>
  <si>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</si>
  <si>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</si>
  <si>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</si>
  <si>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</si>
  <si>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</si>
  <si>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</si>
  <si>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</si>
  <si>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</si>
  <si>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</si>
  <si>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</si>
  <si>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</si>
  <si>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</si>
  <si>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</si>
  <si>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</si>
  <si>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</si>
  <si>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</si>
  <si>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</si>
  <si>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</si>
  <si>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</si>
  <si>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</si>
  <si>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</si>
  <si>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</si>
  <si>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</si>
  <si>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</si>
  <si>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</si>
  <si>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</si>
  <si>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</si>
  <si>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</si>
  <si>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</si>
  <si>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</si>
  <si>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</si>
  <si>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</si>
  <si>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</si>
  <si>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</si>
  <si>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</si>
  <si>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</si>
  <si>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</si>
  <si>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</si>
  <si>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</si>
  <si>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</si>
  <si>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</si>
  <si>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</si>
  <si>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</si>
  <si>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</si>
  <si>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</si>
  <si>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</si>
  <si>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</si>
  <si>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</si>
  <si>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</si>
  <si>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</si>
  <si>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</si>
  <si>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</si>
  <si>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</si>
  <si>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</si>
  <si>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</si>
  <si>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</si>
  <si>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</si>
  <si>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</si>
  <si>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</si>
  <si>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</si>
  <si>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</si>
  <si>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</si>
  <si>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</si>
  <si>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</si>
  <si>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</si>
  <si>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</si>
  <si>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</si>
  <si>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</si>
  <si>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</si>
  <si>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</si>
  <si>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</si>
  <si>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</si>
  <si>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</si>
  <si>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</si>
  <si>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</si>
  <si>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</si>
  <si>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</si>
  <si>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</si>
  <si>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</si>
  <si>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</si>
  <si>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</si>
  <si>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</si>
  <si>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</si>
  <si>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</si>
  <si>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</si>
  <si>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</si>
  <si>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</si>
  <si>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</si>
  <si>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</si>
  <si>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</si>
  <si>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</si>
  <si>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</si>
  <si>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</si>
  <si>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</si>
  <si>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</si>
  <si>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</si>
  <si>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</si>
  <si>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</si>
  <si>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</si>
  <si>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</si>
  <si>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</si>
  <si>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</si>
  <si>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</si>
  <si>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</si>
  <si>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</si>
  <si>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</si>
  <si>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</si>
  <si>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</si>
  <si>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</si>
  <si>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</si>
  <si>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</si>
  <si>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</si>
  <si>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</si>
  <si>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</si>
  <si>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</si>
  <si>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</si>
  <si>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</si>
  <si>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</si>
  <si>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</si>
  <si>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</si>
  <si>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</si>
  <si>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</si>
  <si>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</si>
  <si>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</si>
  <si>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</si>
  <si>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</si>
  <si>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</si>
  <si>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</si>
  <si>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</si>
  <si>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</si>
  <si>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</si>
  <si>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</si>
  <si>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</si>
  <si>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</si>
  <si>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</si>
  <si>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</si>
  <si>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</si>
  <si>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</si>
  <si>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</si>
  <si>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</si>
  <si>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</si>
  <si>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</si>
  <si>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</si>
  <si>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</si>
  <si>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</si>
  <si>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</si>
  <si>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</si>
  <si>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</si>
  <si>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</si>
  <si>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</si>
  <si>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</si>
  <si>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</si>
  <si>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</si>
  <si>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</si>
  <si>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</si>
  <si>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</si>
  <si>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</si>
  <si>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</si>
  <si>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</si>
  <si>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</si>
  <si>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</si>
  <si>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</si>
  <si>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</si>
  <si>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</si>
  <si>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</si>
  <si>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</si>
  <si>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</si>
  <si>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</si>
  <si>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</si>
  <si>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</si>
  <si>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</si>
  <si>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</si>
  <si>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</si>
  <si>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</si>
  <si>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</si>
  <si>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</si>
  <si>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</si>
  <si>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</si>
  <si>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</si>
  <si>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</si>
  <si>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</si>
  <si>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</si>
  <si>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</si>
  <si>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</si>
  <si>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</si>
  <si>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</si>
  <si>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</si>
  <si>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</si>
  <si>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</si>
  <si>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</si>
  <si>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</si>
  <si>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</si>
  <si>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</si>
  <si>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</si>
  <si>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</si>
  <si>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</si>
  <si>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</si>
  <si>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</si>
  <si>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</si>
  <si>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</si>
  <si>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</si>
  <si>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</si>
  <si>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</si>
  <si>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</si>
  <si>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</si>
  <si>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</si>
  <si>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</si>
  <si>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</si>
  <si>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</si>
  <si>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</si>
  <si>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</si>
  <si>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</si>
  <si>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</si>
  <si>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</si>
  <si>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</si>
  <si>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</si>
  <si>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</si>
  <si>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</si>
  <si>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</si>
  <si>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</si>
  <si>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</si>
  <si>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</si>
  <si>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</si>
  <si>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</si>
  <si>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</si>
  <si>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</si>
  <si>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</si>
  <si>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</si>
  <si>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</si>
  <si>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</si>
  <si>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</si>
  <si>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</si>
  <si>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</si>
  <si>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</si>
  <si>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</si>
  <si>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</si>
  <si>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</si>
  <si>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</si>
  <si>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</si>
  <si>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</si>
  <si>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</si>
  <si>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</si>
  <si>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</si>
  <si>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</si>
  <si>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</si>
  <si>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</si>
  <si>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</si>
  <si>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</si>
  <si>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</si>
  <si>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</si>
  <si>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</si>
  <si>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</si>
  <si>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</si>
  <si>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</si>
  <si>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</si>
  <si>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</si>
  <si>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</si>
  <si>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</si>
  <si>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</si>
  <si>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</si>
  <si>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</si>
  <si>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</si>
  <si>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</si>
  <si>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</si>
  <si>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</si>
  <si>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</si>
  <si>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</si>
  <si>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</si>
  <si>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</si>
  <si>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</si>
  <si>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</si>
  <si>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</si>
  <si>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</si>
  <si>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</si>
  <si>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</si>
  <si>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</si>
  <si>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</si>
  <si>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</si>
  <si>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</si>
  <si>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</si>
  <si>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</si>
  <si>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</si>
  <si>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</si>
  <si>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</si>
  <si>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</si>
  <si>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</si>
  <si>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</si>
  <si>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</si>
  <si>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</si>
  <si>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</si>
  <si>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</si>
  <si>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</si>
  <si>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</si>
  <si>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</si>
  <si>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</si>
  <si>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</si>
  <si>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</si>
  <si>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</si>
  <si>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</si>
  <si>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</si>
  <si>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</si>
  <si>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</si>
  <si>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</si>
  <si>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</si>
  <si>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</si>
  <si>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</si>
  <si>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</si>
  <si>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</si>
  <si>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</si>
  <si>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</si>
  <si>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</si>
  <si>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</si>
  <si>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</si>
  <si>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</si>
  <si>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</si>
  <si>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</si>
  <si>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</si>
  <si>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</si>
  <si>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</si>
  <si>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</si>
  <si>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</si>
  <si>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</si>
  <si>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</si>
  <si>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</si>
  <si>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</si>
  <si>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</si>
  <si>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</si>
  <si>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</si>
  <si>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</si>
  <si>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</si>
  <si>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</si>
  <si>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</si>
  <si>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</si>
  <si>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</si>
  <si>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</si>
  <si>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</si>
  <si>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</si>
  <si>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</si>
  <si>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</si>
  <si>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</si>
  <si>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</si>
  <si>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</si>
  <si>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</si>
  <si>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</si>
  <si>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</si>
  <si>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</si>
  <si>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</si>
  <si>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</si>
  <si>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</si>
  <si>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</si>
  <si>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</si>
  <si>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</si>
  <si>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</si>
  <si>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</si>
  <si>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</si>
  <si>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</si>
  <si>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</si>
  <si>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</si>
  <si>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</si>
  <si>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</si>
  <si>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</si>
  <si>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</si>
  <si>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</si>
  <si>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</si>
  <si>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</si>
  <si>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</si>
  <si>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</si>
  <si>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</si>
  <si>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</si>
  <si>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</si>
  <si>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</si>
  <si>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</si>
  <si>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</si>
  <si>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</si>
  <si>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</si>
  <si>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</si>
  <si>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</si>
  <si>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</si>
  <si>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</si>
  <si>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</si>
  <si>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</si>
  <si>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</si>
  <si>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</si>
  <si>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</si>
  <si>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</si>
  <si>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</si>
  <si>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</si>
  <si>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</si>
  <si>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</si>
  <si>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</si>
  <si>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</si>
  <si>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</si>
  <si>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</si>
  <si>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</si>
  <si>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</si>
  <si>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</si>
  <si>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</si>
  <si>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</si>
  <si>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</si>
  <si>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</si>
  <si>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</si>
  <si>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</si>
  <si>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</si>
  <si>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</si>
  <si>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</si>
  <si>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</si>
  <si>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</si>
  <si>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</si>
  <si>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</si>
  <si>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</si>
  <si>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</si>
  <si>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</si>
  <si>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</si>
  <si>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</si>
  <si>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</si>
  <si>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</si>
  <si>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</si>
  <si>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</si>
  <si>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</si>
  <si>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</si>
  <si>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</si>
  <si>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</si>
  <si>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</si>
  <si>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</si>
  <si>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</si>
  <si>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</si>
  <si>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</si>
  <si>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</si>
  <si>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</si>
  <si>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</si>
  <si>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</si>
  <si>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</si>
  <si>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</si>
  <si>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</si>
  <si>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</si>
  <si>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</si>
  <si>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</si>
  <si>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</si>
  <si>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</si>
  <si>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</si>
  <si>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</si>
  <si>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</si>
  <si>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</si>
  <si>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</si>
  <si>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</si>
  <si>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</si>
  <si>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</si>
  <si>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</si>
  <si>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</si>
  <si>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</si>
  <si>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</si>
  <si>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</si>
  <si>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</si>
  <si>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</si>
  <si>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</si>
  <si>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</si>
  <si>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</si>
  <si>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</si>
  <si>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</si>
  <si>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</si>
  <si>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</si>
  <si>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</si>
  <si>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</si>
  <si>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</si>
  <si>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</si>
  <si>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</si>
  <si>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</si>
  <si>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</si>
  <si>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</si>
  <si>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</si>
  <si>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</si>
  <si>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</si>
  <si>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</si>
  <si>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</si>
  <si>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</si>
  <si>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</si>
  <si>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</si>
  <si>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</si>
  <si>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</si>
  <si>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</si>
  <si>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</si>
  <si>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</si>
  <si>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</si>
  <si>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</si>
  <si>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</si>
  <si>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</si>
  <si>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</si>
  <si>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</si>
  <si>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</si>
  <si>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</si>
  <si>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</si>
  <si>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</si>
  <si>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</si>
  <si>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</si>
  <si>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</si>
  <si>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</si>
  <si>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</si>
  <si>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</si>
  <si>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</si>
  <si>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</si>
  <si>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</si>
  <si>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</si>
  <si>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</si>
  <si>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</si>
  <si>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</si>
  <si>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</si>
  <si>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</si>
  <si>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</si>
  <si>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</si>
  <si>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</si>
  <si>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</si>
  <si>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</si>
  <si>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</si>
  <si>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</si>
  <si>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</si>
  <si>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</si>
  <si>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</si>
  <si>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</si>
  <si>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</si>
  <si>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</si>
  <si>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</si>
  <si>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</si>
  <si>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</si>
  <si>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</si>
  <si>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</si>
  <si>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</si>
  <si>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</si>
  <si>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</si>
  <si>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</si>
  <si>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</si>
  <si>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</si>
  <si>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</si>
  <si>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</si>
  <si>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</si>
  <si>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</si>
  <si>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</si>
  <si>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</si>
  <si>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</si>
  <si>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</si>
  <si>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</si>
  <si>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</si>
  <si>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</si>
  <si>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</si>
  <si>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</si>
  <si>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</si>
  <si>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</si>
  <si>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</si>
  <si>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</si>
  <si>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</si>
  <si>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</si>
  <si>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</si>
  <si>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</si>
  <si>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</si>
  <si>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</si>
  <si>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</si>
  <si>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</si>
  <si>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</si>
  <si>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</si>
  <si>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</si>
  <si>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</si>
  <si>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</si>
  <si>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</si>
  <si>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</si>
  <si>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</si>
  <si>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</si>
  <si>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</si>
  <si>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</si>
  <si>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</si>
  <si>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</si>
  <si>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</si>
  <si>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</si>
  <si>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</si>
  <si>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</si>
  <si>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</si>
  <si>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</si>
  <si>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</si>
  <si>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</si>
  <si>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</si>
  <si>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</si>
  <si>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</si>
  <si>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</si>
  <si>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</si>
  <si>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</si>
  <si>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</si>
  <si>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</si>
  <si>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</si>
  <si>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</si>
  <si>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</si>
  <si>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</si>
  <si>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</si>
  <si>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</si>
  <si>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</si>
  <si>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</si>
  <si>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</si>
  <si>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</si>
  <si>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</si>
  <si>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</si>
  <si>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</si>
  <si>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</si>
  <si>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</si>
  <si>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</si>
  <si>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</si>
  <si>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</si>
  <si>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</si>
  <si>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</si>
  <si>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</si>
  <si>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</si>
  <si>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</si>
  <si>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</si>
  <si>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</si>
  <si>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</si>
  <si>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</si>
  <si>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</si>
  <si>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</si>
  <si>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</si>
  <si>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</si>
  <si>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</si>
  <si>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</si>
  <si>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</si>
  <si>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</si>
  <si>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</si>
  <si>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</si>
  <si>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</si>
  <si>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</si>
  <si>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</si>
  <si>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</si>
  <si>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</si>
  <si>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</si>
  <si>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</si>
  <si>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</si>
  <si>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</si>
  <si>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</si>
  <si>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</si>
  <si>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</si>
  <si>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</si>
  <si>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</si>
  <si>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</si>
  <si>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</si>
  <si>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</si>
  <si>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</si>
  <si>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</si>
  <si>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</si>
  <si>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</si>
  <si>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</si>
  <si>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</si>
  <si>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</si>
  <si>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</si>
  <si>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</si>
  <si>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</si>
  <si>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</si>
  <si>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</si>
  <si>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</si>
  <si>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</si>
  <si>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</si>
  <si>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</si>
  <si>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</si>
  <si>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</si>
  <si>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</si>
  <si>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</si>
  <si>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</si>
  <si>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</si>
  <si>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</si>
  <si>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</si>
  <si>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</si>
  <si>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</si>
  <si>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</si>
  <si>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</si>
  <si>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</si>
  <si>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</si>
  <si>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</si>
  <si>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</si>
  <si>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</si>
  <si>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</si>
  <si>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</si>
  <si>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</si>
  <si>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</si>
  <si>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</si>
  <si>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</si>
  <si>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</si>
  <si>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</si>
  <si>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</si>
  <si>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</si>
  <si>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</si>
  <si>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</si>
  <si>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</si>
  <si>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</si>
  <si>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</si>
  <si>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</si>
  <si>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</si>
  <si>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</si>
  <si>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</si>
  <si>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</si>
  <si>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</si>
  <si>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</si>
  <si>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</si>
  <si>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</si>
  <si>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</si>
  <si>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</si>
  <si>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</si>
  <si>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</si>
  <si>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</si>
  <si>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</si>
  <si>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</si>
  <si>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</si>
  <si>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</si>
  <si>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</si>
  <si>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</si>
  <si>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</si>
  <si>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</si>
  <si>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</si>
  <si>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</si>
  <si>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</si>
  <si>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</si>
  <si>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</si>
  <si>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</si>
  <si>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</si>
  <si>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</si>
  <si>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</si>
  <si>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</si>
  <si>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</si>
  <si>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</si>
  <si>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</si>
  <si>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</si>
  <si>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</si>
  <si>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</si>
  <si>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</si>
  <si>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</si>
  <si>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</si>
  <si>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</si>
  <si>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</si>
  <si>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</si>
  <si>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</si>
  <si>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</si>
  <si>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</si>
  <si>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</si>
  <si>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</si>
  <si>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</si>
  <si>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</si>
  <si>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</si>
  <si>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</si>
  <si>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</si>
  <si>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</si>
  <si>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</si>
  <si>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</si>
  <si>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</si>
  <si>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</si>
  <si>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</si>
  <si>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</si>
  <si>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</si>
  <si>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</si>
  <si>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</si>
  <si>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</si>
  <si>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</si>
  <si>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</si>
  <si>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</si>
  <si>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</si>
  <si>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</si>
  <si>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</si>
  <si>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</si>
  <si>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</si>
  <si>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</si>
  <si>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</si>
  <si>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</si>
  <si>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</si>
  <si>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</si>
  <si>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</si>
  <si>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</si>
  <si>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</si>
  <si>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</si>
  <si>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</si>
  <si>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</si>
  <si>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</si>
  <si>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</si>
  <si>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</si>
  <si>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</si>
  <si>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</si>
  <si>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</si>
  <si>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</si>
  <si>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</si>
  <si>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</si>
  <si>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</si>
  <si>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</si>
  <si>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</si>
  <si>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</si>
  <si>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</si>
  <si>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</si>
  <si>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</si>
  <si>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</si>
  <si>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</si>
  <si>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</si>
  <si>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</si>
  <si>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</si>
  <si>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</si>
  <si>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</si>
  <si>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</si>
  <si>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</si>
  <si>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</si>
  <si>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</si>
  <si>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</si>
  <si>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</si>
  <si>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</si>
  <si>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</si>
  <si>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</si>
  <si>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</si>
  <si>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</si>
  <si>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</si>
  <si>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</si>
  <si>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</si>
  <si>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</si>
  <si>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</si>
  <si>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</si>
  <si>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</si>
  <si>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</si>
  <si>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</si>
  <si>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</si>
  <si>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</si>
  <si>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</si>
  <si>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</si>
  <si>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</si>
  <si>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</si>
  <si>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</si>
  <si>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</si>
  <si>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</si>
  <si>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</si>
  <si>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</si>
  <si>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</si>
  <si>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</si>
  <si>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</si>
  <si>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</si>
  <si>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</si>
  <si>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</si>
  <si>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</si>
  <si>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</si>
  <si>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</si>
  <si>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</si>
  <si>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</si>
  <si>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</si>
  <si>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</si>
  <si>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</si>
  <si>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</si>
  <si>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</si>
  <si>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</si>
  <si>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</si>
  <si>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</si>
  <si>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</si>
  <si>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</si>
  <si>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</si>
  <si>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</si>
  <si>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</si>
  <si>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</si>
  <si>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</si>
  <si>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</si>
  <si>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</si>
  <si>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</si>
  <si>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</si>
  <si>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</si>
  <si>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</si>
  <si>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</si>
  <si>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</si>
  <si>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</si>
  <si>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</si>
  <si>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</si>
  <si>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</si>
  <si>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</si>
  <si>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</si>
  <si>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</si>
  <si>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</si>
  <si>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</si>
  <si>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</si>
  <si>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</si>
  <si>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</si>
  <si>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</si>
  <si>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</si>
  <si>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</si>
  <si>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</si>
  <si>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</si>
  <si>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</si>
  <si>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</si>
  <si>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</si>
  <si>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</si>
  <si>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</si>
  <si>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</si>
  <si>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</si>
  <si>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</si>
  <si>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</si>
  <si>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</si>
  <si>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</si>
  <si>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</si>
  <si>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</si>
  <si>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</si>
  <si>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</si>
  <si>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</si>
  <si>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</si>
  <si>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</si>
  <si>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</si>
  <si>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</si>
  <si>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</si>
  <si>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</si>
  <si>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</si>
  <si>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</si>
  <si>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</si>
  <si>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</si>
  <si>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</si>
  <si>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</si>
  <si>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</si>
  <si>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</si>
  <si>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</si>
  <si>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</si>
  <si>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</si>
  <si>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</si>
  <si>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</si>
  <si>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</si>
  <si>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</si>
  <si>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</si>
  <si>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</si>
  <si>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</si>
  <si>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</si>
  <si>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</si>
  <si>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</si>
  <si>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</si>
  <si>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</si>
  <si>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</si>
  <si>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</si>
  <si>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</si>
  <si>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</si>
  <si>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</si>
  <si>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</si>
  <si>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</si>
  <si>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</si>
  <si>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</si>
  <si>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</si>
  <si>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</si>
  <si>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</si>
  <si>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</si>
  <si>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</si>
  <si>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</si>
  <si>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</si>
  <si>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</si>
  <si>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</si>
  <si>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</si>
  <si>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</si>
  <si>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</si>
  <si>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</si>
  <si>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</si>
  <si>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</si>
  <si>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</si>
  <si>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</si>
  <si>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</si>
  <si>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</si>
  <si>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</si>
  <si>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</si>
  <si>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</si>
  <si>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</si>
  <si>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</si>
  <si>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</si>
  <si>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</si>
  <si>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</si>
  <si>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</si>
  <si>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</si>
  <si>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</si>
  <si>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</si>
  <si>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</si>
  <si>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</si>
  <si>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</si>
  <si>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</si>
  <si>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</si>
  <si>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</si>
  <si>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</si>
  <si>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</si>
  <si>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</si>
  <si>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</si>
  <si>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</si>
  <si>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</si>
  <si>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</si>
  <si>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</si>
  <si>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</si>
  <si>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</si>
  <si>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</si>
  <si>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</si>
  <si>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</si>
  <si>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</si>
  <si>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</si>
  <si>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</si>
  <si>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</si>
  <si>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</si>
  <si>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</si>
  <si>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</si>
  <si>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</si>
  <si>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</si>
  <si>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</si>
  <si>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</si>
  <si>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</si>
  <si>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</si>
  <si>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</si>
  <si>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</si>
  <si>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</si>
  <si>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</si>
  <si>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</si>
  <si>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</si>
  <si>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</si>
  <si>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</si>
  <si>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</si>
  <si>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</si>
  <si>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</si>
  <si>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</si>
  <si>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</si>
  <si>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</si>
  <si>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</si>
  <si>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</si>
  <si>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</si>
  <si>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</si>
  <si>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</si>
  <si>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</si>
  <si>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</si>
  <si>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</si>
  <si>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</si>
  <si>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</si>
  <si>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</si>
  <si>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</si>
  <si>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</si>
  <si>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</si>
  <si>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</si>
  <si>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</si>
  <si>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</si>
  <si>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</si>
  <si>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</si>
  <si>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</si>
  <si>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</si>
  <si>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</si>
  <si>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</si>
  <si>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</si>
  <si>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</si>
  <si>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</si>
  <si>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</si>
  <si>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</si>
  <si>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</si>
  <si>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</si>
  <si>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</si>
  <si>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</si>
  <si>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</si>
  <si>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</si>
  <si>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</si>
  <si>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</si>
  <si>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</si>
  <si>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</si>
  <si>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</si>
  <si>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</si>
  <si>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</si>
  <si>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</si>
  <si>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</si>
  <si>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</si>
  <si>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</si>
  <si>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</si>
  <si>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</si>
  <si>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</si>
  <si>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</si>
  <si>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</si>
  <si>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</si>
  <si>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</si>
  <si>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</si>
  <si>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</si>
  <si>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</si>
  <si>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</si>
  <si>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</si>
  <si>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</si>
  <si>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</si>
  <si>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</si>
  <si>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</si>
  <si>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</si>
  <si>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</si>
  <si>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</si>
  <si>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</si>
  <si>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</si>
  <si>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</si>
  <si>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</si>
  <si>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</si>
  <si>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</si>
  <si>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</si>
  <si>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</si>
  <si>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</si>
  <si>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</si>
  <si>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</si>
  <si>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</si>
  <si>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</si>
  <si>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</si>
  <si>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</si>
  <si>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</si>
  <si>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</si>
  <si>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</si>
  <si>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</si>
  <si>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</si>
  <si>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</si>
  <si>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</si>
  <si>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</si>
  <si>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</si>
  <si>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</si>
  <si>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</si>
  <si>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</si>
  <si>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</si>
  <si>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</si>
  <si>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</si>
  <si>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</si>
  <si>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</si>
  <si>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</si>
  <si>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</si>
  <si>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</si>
  <si>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</si>
  <si>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</si>
  <si>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</si>
  <si>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</si>
  <si>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</si>
  <si>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</si>
  <si>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</si>
  <si>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</si>
  <si>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</si>
  <si>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</si>
  <si>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</si>
  <si>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</si>
  <si>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</si>
  <si>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</si>
  <si>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</si>
  <si>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</si>
  <si>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</si>
  <si>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</si>
  <si>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</si>
  <si>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</si>
  <si>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</si>
  <si>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</si>
  <si>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</si>
  <si>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</si>
  <si>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</si>
  <si>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</si>
  <si>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</si>
  <si>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</si>
  <si>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</si>
  <si>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</si>
  <si>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</si>
  <si>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</si>
  <si>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</si>
  <si>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</si>
  <si>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</si>
  <si>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</si>
  <si>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</si>
  <si>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</si>
  <si>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</si>
  <si>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</si>
  <si>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</si>
  <si>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</si>
  <si>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</si>
  <si>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</si>
  <si>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</si>
  <si>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</si>
  <si>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</si>
  <si>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</si>
  <si>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</si>
  <si>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</si>
  <si>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</si>
  <si>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</si>
  <si>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</si>
  <si>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</si>
  <si>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</si>
  <si>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</si>
  <si>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</si>
  <si>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</si>
  <si>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</si>
  <si>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</si>
  <si>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</si>
  <si>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</si>
  <si>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</si>
  <si>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</si>
  <si>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</si>
  <si>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</si>
  <si>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</si>
  <si>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</si>
  <si>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</si>
  <si>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</si>
  <si>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</si>
  <si>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</si>
  <si>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</si>
  <si>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</si>
  <si>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</si>
  <si>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</si>
  <si>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</si>
  <si>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</si>
  <si>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</si>
  <si>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</si>
  <si>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</si>
  <si>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</si>
  <si>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</si>
  <si>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</si>
  <si>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</si>
  <si>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</si>
  <si>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</si>
  <si>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</si>
  <si>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</si>
  <si>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</si>
  <si>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</si>
  <si>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</si>
  <si>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</si>
  <si>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</si>
  <si>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</si>
  <si>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</si>
  <si>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</si>
  <si>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</si>
  <si>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</si>
  <si>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</si>
  <si>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</si>
  <si>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</si>
  <si>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</si>
  <si>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</si>
  <si>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</si>
  <si>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</si>
  <si>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</si>
  <si>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</si>
  <si>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</si>
  <si>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</si>
  <si>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</si>
  <si>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</si>
  <si>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</si>
  <si>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</si>
  <si>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</si>
  <si>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</si>
  <si>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</si>
  <si>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</si>
  <si>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</si>
  <si>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</si>
  <si>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</si>
  <si>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</si>
  <si>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</si>
  <si>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</si>
  <si>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</si>
  <si>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</si>
  <si>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</si>
  <si>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</si>
  <si>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</si>
  <si>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</si>
  <si>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</si>
  <si>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</si>
  <si>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</si>
  <si>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</si>
  <si>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</si>
  <si>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</si>
  <si>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</si>
  <si>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</si>
  <si>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</si>
  <si>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</si>
  <si>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</si>
  <si>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</si>
  <si>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</si>
  <si>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</si>
  <si>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</si>
  <si>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</si>
  <si>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</si>
  <si>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</si>
  <si>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</si>
  <si>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</si>
  <si>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</si>
  <si>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</si>
  <si>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</si>
  <si>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</si>
  <si>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</si>
  <si>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</si>
  <si>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</si>
  <si>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</si>
  <si>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</si>
  <si>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</si>
  <si>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</si>
  <si>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</si>
  <si>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</si>
  <si>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</si>
  <si>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</si>
  <si>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</si>
  <si>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</si>
  <si>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</si>
  <si>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</si>
  <si>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</si>
  <si>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</si>
  <si>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</si>
  <si>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</si>
  <si>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</si>
  <si>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</si>
  <si>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</si>
  <si>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</si>
  <si>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</si>
  <si>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</si>
  <si>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</si>
  <si>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</si>
  <si>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</si>
  <si>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</si>
  <si>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</si>
  <si>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</si>
  <si>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</si>
  <si>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</si>
  <si>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</si>
  <si>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</si>
  <si>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</si>
  <si>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</si>
  <si>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</si>
  <si>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</si>
  <si>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</si>
  <si>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</si>
  <si>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</si>
  <si>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</si>
  <si>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</si>
  <si>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</si>
  <si>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</si>
  <si>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</si>
  <si>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</si>
  <si>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</si>
  <si>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</si>
  <si>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</si>
  <si>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</si>
  <si>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</si>
  <si>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</si>
  <si>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</si>
  <si>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</si>
  <si>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</si>
  <si>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</si>
  <si>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</si>
  <si>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</si>
  <si>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</si>
  <si>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</si>
  <si>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</si>
  <si>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</si>
  <si>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</si>
  <si>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</si>
  <si>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</si>
  <si>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</si>
  <si>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</si>
  <si>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</si>
  <si>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</si>
  <si>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</si>
  <si>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</si>
  <si>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</si>
  <si>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</si>
  <si>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</si>
  <si>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</si>
  <si>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</si>
  <si>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</si>
  <si>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</si>
  <si>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</si>
  <si>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</si>
  <si>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</si>
  <si>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</si>
  <si>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</si>
  <si>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</si>
  <si>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</si>
  <si>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</si>
  <si>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</si>
  <si>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</si>
  <si>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</si>
  <si>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</si>
  <si>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</si>
  <si>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</si>
  <si>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</si>
  <si>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</si>
  <si>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</si>
  <si>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</si>
  <si>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</si>
  <si>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</si>
  <si>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</si>
  <si>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</si>
  <si>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</si>
  <si>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</si>
  <si>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</si>
  <si>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</si>
  <si>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</si>
  <si>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</si>
  <si>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</si>
  <si>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</si>
  <si>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</si>
  <si>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</si>
  <si>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</si>
  <si>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</si>
  <si>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</si>
  <si>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</si>
  <si>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</si>
  <si>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</si>
  <si>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</si>
  <si>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</si>
  <si>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</si>
  <si>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</si>
  <si>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</si>
  <si>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</si>
  <si>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</si>
  <si>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</si>
  <si>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</si>
  <si>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</si>
  <si>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</si>
  <si>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</si>
  <si>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</si>
  <si>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</si>
  <si>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</si>
  <si>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</si>
  <si>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</si>
  <si>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</si>
  <si>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</si>
  <si>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</si>
  <si>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</si>
  <si>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</si>
  <si>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</si>
  <si>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</si>
  <si>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</si>
  <si>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</si>
  <si>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</si>
  <si>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</si>
  <si>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</si>
  <si>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</si>
  <si>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</si>
  <si>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</si>
  <si>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</si>
  <si>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</si>
  <si>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</si>
  <si>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</si>
  <si>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</si>
  <si>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</si>
  <si>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</si>
  <si>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</si>
  <si>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</si>
  <si>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</si>
  <si>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</si>
  <si>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</si>
  <si>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</si>
  <si>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</si>
  <si>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</si>
  <si>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</si>
  <si>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</si>
  <si>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</si>
  <si>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</si>
  <si>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</si>
  <si>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</si>
  <si>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</si>
  <si>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</si>
  <si>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</si>
  <si>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</si>
  <si>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</si>
  <si>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</si>
  <si>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</si>
  <si>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</si>
  <si>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</si>
  <si>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</si>
  <si>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</si>
  <si>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</si>
  <si>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</si>
  <si>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</si>
  <si>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</si>
  <si>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</si>
  <si>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</si>
  <si>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</si>
  <si>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</si>
  <si>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</si>
  <si>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</si>
  <si>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</si>
  <si>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</si>
  <si>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</si>
  <si>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</si>
  <si>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</si>
  <si>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</si>
  <si>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</si>
  <si>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</si>
  <si>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</si>
  <si>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</si>
  <si>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</si>
  <si>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</si>
  <si>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</si>
  <si>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</si>
  <si>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</si>
  <si>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</si>
  <si>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</si>
  <si>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</si>
  <si>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</si>
  <si>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</si>
  <si>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</si>
  <si>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</si>
  <si>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</si>
  <si>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</si>
  <si>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</si>
  <si>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</si>
  <si>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</si>
  <si>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</si>
  <si>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</si>
  <si>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</si>
  <si>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</si>
  <si>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</si>
  <si>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</si>
  <si>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</si>
  <si>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</si>
  <si>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</si>
  <si>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</si>
  <si>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</si>
  <si>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</si>
  <si>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</si>
  <si>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</si>
  <si>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</si>
  <si>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</si>
  <si>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</si>
  <si>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</si>
  <si>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</si>
  <si>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</si>
  <si>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</si>
  <si>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</si>
  <si>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</si>
  <si>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</si>
  <si>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</si>
  <si>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</si>
  <si>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</si>
  <si>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</si>
  <si>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</si>
  <si>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</si>
  <si>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</si>
  <si>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</si>
  <si>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</si>
  <si>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</si>
  <si>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</si>
  <si>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</si>
  <si>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</si>
  <si>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</si>
  <si>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</si>
  <si>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</si>
  <si>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</si>
  <si>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</si>
  <si>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</si>
  <si>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</si>
  <si>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</si>
  <si>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</si>
  <si>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</si>
  <si>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</si>
  <si>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</si>
  <si>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</si>
  <si>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</si>
  <si>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</si>
  <si>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</si>
  <si>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</si>
  <si>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</si>
  <si>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</si>
  <si>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</si>
  <si>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</si>
  <si>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</si>
  <si>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</si>
  <si>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</si>
  <si>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</si>
  <si>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</si>
  <si>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</si>
  <si>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</si>
  <si>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</si>
  <si>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</si>
  <si>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</si>
  <si>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</si>
  <si>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</si>
  <si>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</si>
  <si>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</si>
  <si>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</si>
  <si>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</si>
  <si>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</si>
  <si>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</si>
  <si>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</si>
  <si>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</si>
  <si>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</si>
  <si>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</si>
  <si>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</si>
  <si>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</si>
  <si>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</si>
  <si>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</si>
  <si>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</si>
  <si>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</si>
  <si>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</si>
  <si>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</si>
  <si>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</si>
  <si>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</si>
  <si>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</si>
  <si>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</si>
  <si>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</si>
  <si>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</si>
  <si>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</si>
  <si>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</si>
  <si>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</si>
  <si>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</si>
  <si>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</si>
  <si>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</si>
  <si>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</si>
  <si>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</si>
  <si>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</si>
  <si>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</si>
  <si>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</si>
  <si>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</si>
  <si>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</si>
  <si>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</si>
  <si>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</si>
  <si>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</si>
  <si>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</si>
  <si>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</si>
  <si>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</si>
  <si>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</si>
  <si>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</si>
  <si>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</si>
  <si>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</si>
  <si>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</si>
  <si>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</si>
  <si>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</si>
  <si>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</si>
  <si>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</si>
  <si>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</si>
  <si>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</si>
  <si>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</si>
  <si>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</si>
  <si>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</si>
  <si>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</si>
  <si>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</si>
  <si>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</si>
  <si>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</si>
  <si>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</si>
  <si>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</si>
  <si>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</si>
  <si>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</si>
  <si>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</si>
  <si>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</si>
  <si>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</si>
  <si>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</si>
  <si>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</si>
  <si>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</si>
  <si>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</si>
  <si>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</si>
  <si>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</si>
  <si>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</si>
  <si>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</si>
  <si>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</si>
  <si>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</si>
  <si>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</si>
  <si>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</si>
  <si>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</si>
  <si>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</si>
  <si>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</si>
  <si>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</si>
  <si>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</si>
  <si>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</si>
  <si>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</si>
  <si>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</si>
  <si>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</si>
  <si>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</si>
  <si>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</si>
  <si>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</si>
  <si>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</si>
  <si>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</si>
  <si>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</si>
  <si>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</si>
  <si>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</si>
  <si>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</si>
  <si>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</si>
  <si>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</si>
  <si>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</si>
  <si>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</si>
  <si>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</si>
  <si>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</si>
  <si>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</si>
  <si>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</si>
  <si>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</si>
  <si>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</si>
  <si>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</si>
  <si>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</si>
  <si>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</si>
  <si>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</si>
  <si>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</si>
  <si>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</si>
  <si>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</si>
  <si>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</si>
  <si>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</si>
  <si>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</si>
  <si>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</si>
  <si>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</si>
  <si>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</si>
  <si>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</si>
  <si>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</si>
  <si>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</si>
  <si>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</si>
  <si>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</si>
  <si>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</si>
  <si>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</si>
  <si>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</si>
  <si>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</si>
  <si>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</si>
  <si>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</si>
  <si>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</si>
  <si>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</si>
  <si>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</si>
  <si>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</si>
  <si>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</si>
  <si>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</si>
  <si>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</si>
  <si>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</si>
  <si>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</si>
  <si>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</si>
  <si>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</si>
  <si>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</si>
  <si>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</si>
  <si>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</si>
  <si>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</si>
  <si>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</si>
  <si>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</si>
  <si>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</si>
  <si>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</si>
  <si>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</si>
  <si>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</si>
  <si>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</si>
  <si>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</si>
  <si>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</si>
  <si>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</si>
  <si>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</si>
  <si>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</si>
  <si>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</si>
  <si>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</si>
  <si>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</si>
  <si>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</si>
  <si>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</si>
  <si>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</si>
  <si>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</si>
  <si>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</si>
  <si>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</si>
  <si>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</si>
  <si>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</si>
  <si>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</si>
  <si>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</si>
  <si>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</si>
  <si>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</si>
  <si>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</si>
  <si>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</si>
  <si>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</si>
  <si>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</si>
  <si>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</si>
  <si>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</si>
  <si>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</si>
  <si>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</si>
  <si>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</si>
  <si>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</si>
  <si>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</si>
  <si>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</si>
  <si>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</si>
  <si>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</si>
  <si>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</si>
  <si>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</si>
  <si>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</si>
  <si>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</si>
  <si>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</si>
  <si>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</si>
  <si>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</si>
  <si>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</si>
  <si>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</si>
  <si>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</si>
  <si>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</si>
  <si>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</si>
  <si>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</si>
  <si>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</si>
  <si>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</si>
  <si>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</si>
  <si>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</si>
  <si>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</si>
  <si>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</si>
  <si>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</si>
  <si>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</si>
  <si>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</si>
  <si>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</si>
  <si>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</si>
  <si>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</si>
  <si>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</si>
  <si>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</si>
  <si>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</si>
  <si>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</si>
  <si>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</si>
  <si>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</si>
  <si>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</si>
  <si>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</si>
  <si>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</si>
  <si>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</si>
  <si>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</si>
  <si>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</si>
  <si>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</si>
  <si>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</si>
  <si>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</si>
  <si>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</si>
  <si>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</si>
  <si>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</si>
  <si>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</si>
  <si>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</si>
  <si>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</si>
  <si>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</si>
  <si>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</si>
  <si>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</si>
  <si>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</si>
  <si>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</si>
  <si>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</si>
  <si>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</si>
  <si>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</si>
  <si>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</si>
  <si>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</si>
  <si>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</si>
  <si>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</si>
  <si>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</si>
  <si>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</si>
  <si>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</si>
  <si>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</si>
  <si>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</si>
  <si>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</si>
  <si>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</si>
  <si>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</si>
  <si>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</si>
  <si>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</si>
  <si>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</si>
  <si>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</si>
  <si>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</si>
  <si>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</si>
  <si>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</si>
  <si>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</si>
  <si>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</si>
  <si>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</si>
  <si>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</si>
  <si>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</si>
  <si>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</si>
  <si>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</si>
  <si>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</si>
  <si>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</si>
  <si>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</si>
  <si>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</si>
  <si>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</si>
  <si>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</si>
  <si>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</si>
  <si>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</si>
  <si>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</si>
  <si>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</si>
  <si>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</si>
  <si>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</si>
  <si>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</si>
  <si>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</si>
  <si>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</si>
  <si>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</si>
  <si>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</si>
  <si>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</si>
  <si>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</si>
  <si>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</si>
  <si>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</si>
  <si>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</si>
  <si>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</si>
  <si>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</si>
  <si>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</si>
  <si>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</si>
  <si>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</si>
  <si>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</si>
  <si>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</si>
  <si>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</si>
  <si>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</si>
  <si>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</si>
  <si>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</si>
  <si>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</si>
  <si>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</si>
  <si>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</si>
  <si>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</si>
  <si>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</si>
  <si>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</si>
  <si>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</si>
  <si>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</si>
  <si>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</si>
  <si>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</si>
  <si>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</si>
  <si>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</si>
  <si>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</si>
  <si>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</si>
  <si>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</si>
  <si>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</si>
  <si>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</si>
  <si>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</si>
  <si>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</si>
  <si>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</si>
  <si>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</si>
  <si>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</si>
  <si>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</si>
  <si>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</si>
  <si>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</si>
  <si>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</si>
  <si>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</si>
  <si>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</si>
  <si>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</si>
  <si>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</si>
  <si>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</si>
  <si>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</si>
  <si>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</si>
  <si>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</si>
  <si>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</si>
  <si>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</si>
  <si>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</si>
  <si>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</si>
  <si>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</si>
  <si>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</si>
  <si>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</si>
  <si>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</si>
  <si>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</si>
  <si>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</si>
  <si>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</si>
  <si>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</si>
  <si>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</si>
  <si>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</si>
  <si>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</si>
  <si>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</si>
  <si>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</si>
  <si>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</si>
  <si>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</si>
  <si>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</si>
  <si>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</si>
  <si>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</si>
  <si>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</si>
  <si>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</si>
  <si>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</si>
  <si>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</si>
  <si>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</si>
  <si>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</si>
  <si>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</si>
  <si>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</si>
  <si>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</si>
  <si>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</si>
  <si>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</si>
  <si>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</si>
  <si>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</si>
  <si>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</si>
  <si>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</si>
  <si>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</si>
  <si>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</si>
  <si>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</si>
  <si>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</si>
  <si>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</si>
  <si>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</si>
  <si>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</si>
  <si>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</si>
  <si>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</si>
  <si>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</si>
  <si>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</si>
  <si>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</si>
  <si>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</si>
  <si>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</si>
  <si>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</si>
  <si>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</si>
  <si>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</si>
  <si>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</si>
  <si>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</si>
  <si>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</si>
  <si>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</si>
  <si>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</si>
  <si>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</si>
  <si>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</si>
  <si>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</si>
  <si>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</si>
  <si>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</si>
  <si>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</si>
  <si>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</si>
  <si>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</si>
  <si>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</si>
  <si>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</si>
  <si>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</si>
  <si>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</si>
  <si>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</si>
  <si>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</si>
  <si>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</si>
  <si>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</si>
  <si>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</si>
  <si>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</si>
  <si>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</si>
  <si>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</si>
  <si>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</si>
  <si>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</si>
  <si>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</si>
  <si>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</si>
  <si>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</si>
  <si>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</si>
  <si>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</si>
  <si>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</si>
  <si>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</si>
  <si>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</si>
  <si>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</si>
  <si>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</si>
  <si>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</si>
  <si>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</si>
  <si>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</si>
  <si>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</si>
  <si>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</si>
  <si>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</si>
  <si>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</si>
  <si>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</si>
  <si>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</si>
  <si>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</si>
  <si>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</si>
  <si>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</si>
  <si>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</si>
  <si>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</si>
  <si>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</si>
  <si>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</si>
  <si>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</si>
  <si>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</si>
  <si>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</si>
  <si>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</si>
  <si>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</si>
  <si>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</si>
  <si>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</si>
  <si>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</si>
  <si>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</si>
  <si>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</si>
  <si>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</si>
  <si>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</si>
  <si>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</si>
  <si>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</si>
  <si>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</si>
  <si>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</si>
  <si>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</si>
  <si>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</si>
  <si>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</si>
  <si>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</si>
  <si>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</si>
  <si>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</si>
  <si>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</si>
  <si>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</si>
  <si>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</si>
  <si>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</si>
  <si>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</si>
  <si>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</si>
  <si>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</si>
  <si>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</si>
  <si>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</si>
  <si>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</si>
  <si>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</si>
  <si>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</si>
  <si>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</si>
  <si>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</si>
  <si>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</si>
  <si>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</si>
  <si>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</si>
  <si>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</si>
  <si>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</si>
  <si>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</si>
  <si>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</si>
  <si>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</si>
  <si>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</si>
  <si>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</si>
  <si>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</si>
  <si>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</si>
  <si>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</si>
  <si>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</si>
  <si>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</si>
  <si>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</si>
  <si>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</si>
  <si>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</si>
  <si>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</si>
  <si>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</si>
  <si>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</si>
  <si>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</si>
  <si>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</si>
  <si>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</si>
  <si>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</si>
  <si>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</si>
  <si>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</si>
  <si>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</si>
  <si>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</si>
  <si>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</si>
  <si>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</si>
  <si>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</si>
  <si>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</si>
  <si>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</si>
  <si>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</si>
  <si>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</si>
  <si>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</si>
  <si>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</si>
  <si>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</si>
  <si>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</si>
  <si>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</si>
  <si>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</si>
  <si>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</si>
  <si>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</si>
  <si>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</si>
  <si>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</si>
  <si>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</si>
  <si>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</si>
  <si>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</si>
  <si>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</si>
  <si>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</si>
  <si>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</si>
  <si>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</si>
  <si>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</si>
  <si>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</si>
  <si>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</si>
  <si>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</si>
  <si>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</si>
  <si>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</si>
  <si>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</si>
  <si>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</si>
  <si>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</si>
  <si>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</si>
  <si>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</si>
  <si>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</si>
  <si>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</si>
  <si>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</si>
  <si>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</si>
  <si>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</si>
  <si>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</si>
  <si>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</si>
  <si>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</si>
  <si>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</si>
  <si>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</si>
  <si>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</si>
  <si>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</si>
  <si>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</si>
  <si>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</si>
  <si>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</si>
  <si>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</si>
  <si>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</si>
  <si>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</si>
  <si>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</si>
  <si>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</si>
  <si>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</si>
  <si>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</si>
  <si>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</si>
  <si>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</si>
  <si>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</si>
  <si>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</si>
  <si>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</si>
  <si>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</si>
  <si>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</si>
  <si>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</si>
  <si>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</si>
  <si>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</si>
  <si>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</si>
  <si>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</si>
  <si>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</si>
  <si>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</si>
  <si>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</si>
  <si>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</si>
  <si>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</si>
  <si>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</si>
  <si>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</si>
  <si>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</si>
  <si>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</si>
  <si>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</si>
  <si>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</si>
  <si>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</si>
  <si>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</si>
  <si>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</si>
  <si>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</si>
  <si>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</si>
  <si>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</si>
  <si>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</si>
  <si>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</si>
  <si>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</si>
  <si>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</si>
  <si>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</si>
  <si>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</si>
  <si>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</si>
  <si>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</si>
  <si>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</si>
  <si>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</si>
  <si>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</si>
  <si>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</si>
  <si>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</si>
  <si>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</si>
  <si>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</si>
  <si>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</si>
  <si>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</si>
  <si>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</si>
  <si>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</si>
  <si>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</si>
  <si>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</si>
  <si>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</si>
  <si>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</si>
  <si>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</si>
  <si>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</si>
  <si>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</si>
  <si>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</si>
  <si>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</si>
  <si>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</si>
  <si>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</si>
  <si>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</si>
  <si>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</si>
  <si>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</si>
  <si>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</si>
  <si>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</si>
  <si>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</si>
  <si>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</si>
  <si>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</si>
  <si>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</si>
  <si>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</si>
  <si>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</si>
  <si>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</si>
  <si>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</si>
  <si>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</si>
  <si>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</si>
  <si>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</si>
  <si>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</si>
  <si>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</si>
  <si>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</si>
  <si>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</si>
  <si>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</si>
  <si>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</si>
  <si>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</si>
  <si>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</si>
  <si>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</si>
  <si>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</si>
  <si>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</si>
  <si>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</si>
  <si>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</si>
  <si>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</si>
  <si>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</si>
  <si>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</si>
  <si>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</si>
  <si>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</si>
  <si>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</si>
  <si>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</si>
  <si>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</si>
  <si>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</si>
  <si>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</si>
  <si>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</si>
  <si>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</si>
  <si>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</si>
  <si>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</si>
  <si>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</si>
  <si>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</si>
  <si>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</si>
  <si>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</si>
  <si>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</si>
  <si>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</si>
  <si>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</si>
  <si>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</si>
  <si>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</si>
  <si>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</si>
  <si>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</si>
  <si>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</si>
  <si>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</si>
  <si>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</si>
  <si>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</si>
  <si>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</si>
  <si>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</si>
  <si>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</si>
  <si>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</si>
  <si>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</si>
  <si>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</si>
  <si>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</si>
  <si>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</si>
  <si>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</si>
  <si>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</si>
  <si>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</si>
  <si>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</si>
  <si>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</si>
  <si>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</si>
  <si>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</si>
  <si>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</si>
  <si>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</si>
  <si>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</si>
  <si>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</si>
  <si>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</si>
  <si>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</si>
  <si>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</si>
  <si>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</si>
  <si>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</si>
  <si>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</si>
  <si>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</si>
  <si>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</si>
  <si>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</si>
  <si>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</si>
  <si>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</si>
  <si>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</si>
  <si>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</si>
  <si>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</si>
  <si>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</si>
  <si>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</si>
  <si>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</si>
  <si>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</si>
  <si>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</si>
  <si>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</si>
  <si>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</si>
  <si>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</si>
  <si>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</si>
  <si>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</si>
  <si>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</si>
  <si>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</si>
  <si>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</si>
  <si>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</si>
  <si>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</si>
  <si>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</si>
  <si>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</si>
  <si>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</si>
  <si>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</si>
  <si>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</si>
  <si>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</si>
  <si>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</si>
  <si>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</si>
  <si>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</si>
  <si>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</si>
  <si>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</si>
  <si>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</si>
  <si>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</si>
  <si>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</si>
  <si>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</si>
  <si>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</si>
  <si>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</si>
  <si>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</si>
  <si>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</si>
  <si>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</si>
  <si>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</si>
  <si>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</si>
  <si>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</si>
  <si>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</si>
  <si>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</si>
  <si>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</si>
  <si>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</si>
  <si>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</si>
  <si>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</si>
  <si>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</si>
  <si>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</si>
  <si>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</si>
  <si>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</si>
  <si>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</si>
  <si>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</si>
  <si>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</si>
  <si>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</si>
  <si>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</si>
  <si>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</si>
  <si>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</si>
  <si>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</si>
  <si>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</si>
  <si>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</si>
  <si>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</si>
  <si>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</si>
  <si>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</si>
  <si>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</si>
  <si>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</si>
  <si>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</si>
  <si>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</si>
  <si>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</si>
  <si>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</si>
  <si>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</si>
  <si>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</si>
  <si>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</si>
  <si>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</si>
  <si>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</si>
  <si>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</si>
  <si>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</si>
  <si>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</si>
  <si>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</si>
  <si>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</si>
  <si>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</si>
  <si>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</si>
  <si>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</si>
  <si>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</si>
  <si>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</si>
  <si>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</si>
  <si>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</si>
  <si>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</si>
  <si>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</si>
  <si>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</si>
  <si>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</si>
  <si>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</si>
  <si>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</si>
  <si>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</si>
  <si>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</si>
  <si>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</si>
  <si>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</si>
  <si>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</si>
  <si>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</si>
  <si>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</si>
  <si>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</si>
  <si>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</si>
  <si>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</si>
  <si>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</si>
  <si>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</si>
  <si>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</si>
  <si>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</si>
  <si>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</si>
  <si>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</si>
  <si>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</si>
  <si>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</si>
  <si>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</si>
  <si>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</si>
  <si>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</si>
  <si>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</si>
  <si>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</si>
  <si>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</si>
  <si>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</si>
  <si>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</si>
  <si>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</si>
  <si>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</si>
  <si>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</si>
  <si>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</si>
  <si>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</si>
  <si>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</si>
  <si>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</si>
  <si>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</si>
  <si>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</si>
  <si>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</si>
  <si>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</si>
  <si>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</si>
  <si>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</si>
  <si>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</si>
  <si>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</si>
  <si>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</si>
  <si>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</si>
  <si>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</si>
  <si>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</si>
  <si>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</si>
  <si>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</si>
  <si>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</si>
  <si>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</si>
  <si>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</si>
  <si>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</si>
  <si>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</si>
  <si>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</si>
  <si>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</si>
  <si>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</si>
  <si>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</si>
  <si>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</si>
  <si>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</si>
  <si>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</si>
  <si>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</si>
  <si>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</si>
  <si>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</si>
  <si>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</si>
  <si>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</si>
  <si>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</si>
  <si>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</si>
  <si>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</si>
  <si>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</si>
  <si>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</si>
  <si>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</si>
  <si>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</si>
  <si>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</si>
  <si>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</si>
  <si>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</si>
  <si>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</si>
  <si>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</si>
  <si>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</si>
  <si>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</si>
  <si>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</si>
  <si>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</si>
  <si>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</si>
  <si>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</si>
  <si>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</si>
  <si>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</si>
  <si>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</si>
  <si>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</si>
  <si>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</si>
  <si>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</si>
  <si>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</si>
  <si>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</si>
  <si>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</si>
  <si>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</si>
  <si>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</si>
  <si>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</si>
  <si>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</si>
  <si>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</si>
  <si>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</si>
  <si>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</si>
  <si>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</si>
  <si>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</si>
  <si>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</si>
  <si>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</si>
  <si>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</si>
  <si>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</si>
  <si>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</si>
  <si>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</si>
  <si>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</si>
  <si>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</si>
  <si>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</si>
  <si>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</si>
  <si>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</si>
  <si>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</si>
  <si>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</si>
  <si>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</si>
  <si>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</si>
  <si>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</si>
  <si>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</si>
  <si>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</si>
  <si>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</si>
  <si>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</si>
  <si>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</si>
  <si>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</si>
  <si>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</si>
  <si>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</si>
  <si>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</si>
  <si>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</si>
  <si>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</si>
  <si>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</si>
  <si>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</si>
  <si>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</si>
  <si>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</si>
  <si>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</si>
  <si>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</si>
  <si>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</si>
  <si>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</si>
  <si>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</si>
  <si>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</si>
  <si>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</si>
  <si>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</si>
  <si>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</si>
  <si>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</si>
  <si>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</si>
  <si>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</si>
  <si>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</si>
  <si>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</si>
  <si>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</si>
  <si>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</si>
  <si>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</si>
  <si>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</si>
  <si>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</si>
  <si>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</si>
  <si>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</si>
  <si>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</si>
  <si>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</si>
  <si>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</si>
  <si>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</si>
  <si>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</si>
  <si>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</si>
  <si>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</si>
  <si>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</si>
  <si>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</si>
  <si>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</si>
  <si>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</si>
  <si>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</si>
  <si>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</si>
  <si>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</si>
  <si>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</si>
  <si>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</si>
  <si>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</si>
  <si>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</si>
  <si>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</si>
  <si>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</si>
  <si>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</si>
  <si>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</si>
  <si>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</si>
  <si>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</si>
  <si>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</si>
  <si>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</si>
  <si>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</si>
  <si>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</si>
  <si>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</si>
  <si>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</si>
  <si>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</si>
  <si>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</si>
  <si>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</si>
  <si>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</si>
  <si>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</si>
  <si>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</si>
  <si>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</si>
  <si>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</si>
  <si>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</si>
  <si>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</si>
  <si>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</si>
  <si>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</si>
  <si>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</si>
  <si>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</si>
  <si>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</si>
  <si>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</si>
  <si>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</si>
  <si>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</si>
  <si>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</si>
  <si>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</si>
  <si>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</si>
  <si>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</si>
  <si>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</si>
  <si>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</si>
  <si>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</si>
  <si>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</si>
  <si>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</si>
  <si>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</si>
  <si>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</si>
  <si>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</si>
  <si>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</si>
  <si>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</si>
  <si>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</si>
  <si>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</si>
  <si>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</si>
  <si>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</si>
  <si>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</si>
  <si>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</si>
  <si>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</si>
  <si>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</si>
  <si>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</si>
  <si>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</si>
  <si>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</si>
  <si>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</si>
  <si>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</si>
  <si>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</si>
  <si>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</si>
  <si>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</si>
  <si>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</si>
  <si>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</si>
  <si>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</si>
  <si>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</si>
  <si>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</si>
  <si>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</si>
  <si>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</si>
  <si>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</si>
  <si>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</si>
  <si>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</si>
  <si>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</si>
  <si>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</si>
  <si>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</si>
  <si>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</si>
  <si>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</si>
  <si>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</si>
  <si>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</si>
  <si>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</si>
  <si>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</si>
  <si>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</si>
  <si>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</si>
  <si>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</si>
  <si>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</si>
  <si>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</si>
  <si>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</si>
  <si>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</si>
  <si>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</si>
  <si>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</si>
  <si>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</si>
  <si>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</si>
  <si>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</si>
  <si>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</si>
  <si>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</si>
  <si>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</si>
  <si>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</si>
  <si>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</si>
  <si>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</si>
  <si>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</si>
  <si>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</si>
  <si>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</si>
  <si>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</si>
  <si>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</si>
  <si>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</si>
  <si>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</si>
  <si>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</si>
  <si>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</si>
  <si>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</si>
  <si>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</si>
  <si>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</si>
  <si>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</si>
  <si>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</si>
  <si>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</si>
  <si>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</si>
  <si>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</si>
  <si>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</si>
  <si>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</si>
  <si>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</si>
  <si>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</si>
  <si>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</si>
  <si>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</si>
  <si>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</si>
  <si>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</si>
  <si>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</si>
  <si>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</si>
  <si>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</si>
  <si>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</si>
  <si>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</si>
  <si>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</si>
  <si>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</si>
  <si>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</si>
  <si>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</si>
  <si>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</si>
  <si>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</si>
  <si>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</si>
  <si>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</si>
  <si>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</si>
  <si>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</si>
  <si>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</si>
  <si>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</si>
  <si>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</si>
  <si>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</si>
  <si>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</si>
  <si>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</si>
  <si>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</si>
  <si>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</si>
  <si>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</si>
  <si>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</si>
  <si>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</si>
  <si>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</si>
  <si>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</si>
  <si>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</si>
  <si>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</si>
  <si>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</si>
  <si>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</si>
  <si>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</si>
  <si>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</si>
  <si>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</si>
  <si>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</si>
  <si>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</si>
  <si>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</si>
  <si>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</si>
  <si>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</si>
  <si>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</si>
  <si>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</si>
  <si>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</si>
  <si>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</si>
  <si>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</si>
  <si>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</si>
  <si>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</si>
  <si>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</si>
  <si>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</si>
  <si>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</si>
  <si>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</si>
  <si>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</si>
  <si>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</si>
  <si>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</si>
  <si>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</si>
  <si>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</si>
  <si>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</si>
  <si>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</si>
  <si>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</si>
  <si>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</si>
  <si>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</si>
  <si>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</si>
  <si>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</si>
  <si>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</si>
  <si>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</si>
  <si>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</si>
  <si>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</si>
  <si>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</si>
  <si>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</si>
  <si>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</si>
  <si>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</si>
  <si>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</si>
  <si>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</si>
  <si>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</si>
  <si>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</si>
  <si>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</si>
  <si>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</si>
  <si>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</si>
  <si>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</si>
  <si>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</si>
  <si>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</si>
  <si>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</si>
  <si>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</si>
  <si>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</si>
  <si>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</si>
  <si>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</si>
  <si>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</si>
  <si>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</si>
  <si>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</si>
  <si>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</si>
  <si>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</si>
  <si>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</si>
  <si>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</si>
  <si>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</si>
  <si>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</si>
  <si>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</si>
  <si>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</si>
  <si>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</si>
  <si>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</si>
  <si>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</si>
  <si>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</si>
  <si>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</si>
  <si>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</si>
  <si>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</si>
  <si>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</si>
  <si>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</si>
  <si>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</si>
  <si>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</si>
  <si>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</si>
  <si>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</si>
  <si>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</si>
  <si>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</si>
  <si>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</si>
  <si>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</si>
  <si>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</si>
  <si>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</si>
  <si>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</si>
  <si>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</si>
  <si>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</si>
  <si>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</si>
  <si>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</si>
  <si>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</si>
  <si>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</si>
  <si>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</si>
  <si>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</si>
  <si>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</si>
  <si>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</si>
  <si>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</si>
  <si>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</si>
  <si>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</si>
  <si>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</si>
  <si>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</si>
  <si>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</si>
  <si>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</si>
  <si>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</si>
  <si>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</si>
  <si>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</si>
  <si>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</si>
  <si>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</si>
  <si>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</si>
  <si>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</si>
  <si>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</si>
  <si>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</si>
  <si>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</si>
  <si>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</si>
  <si>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</si>
  <si>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</si>
  <si>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</si>
  <si>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</si>
  <si>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</si>
  <si>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</si>
  <si>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</si>
  <si>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</si>
  <si>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</si>
  <si>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</si>
  <si>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</si>
  <si>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</si>
  <si>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</si>
  <si>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</si>
  <si>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</si>
  <si>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</si>
  <si>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</si>
  <si>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</si>
  <si>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</si>
  <si>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</si>
  <si>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</si>
  <si>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</si>
  <si>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</si>
  <si>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</si>
  <si>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</si>
  <si>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</si>
  <si>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</si>
  <si>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</si>
  <si>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</si>
  <si>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</si>
  <si>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</si>
  <si>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</si>
  <si>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</si>
  <si>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</si>
  <si>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</si>
  <si>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</si>
  <si>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</si>
  <si>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</si>
  <si>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</si>
  <si>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</si>
  <si>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</si>
  <si>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</si>
  <si>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</si>
  <si>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</si>
  <si>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</si>
  <si>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</si>
  <si>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</si>
  <si>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</si>
  <si>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</si>
  <si>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</si>
  <si>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</si>
  <si>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</si>
  <si>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</si>
  <si>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</si>
  <si>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</si>
  <si>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</si>
  <si>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</si>
  <si>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</si>
  <si>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</si>
  <si>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</si>
  <si>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</si>
  <si>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</si>
  <si>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</si>
  <si>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</si>
  <si>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</si>
  <si>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</si>
  <si>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</si>
  <si>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</si>
  <si>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</si>
  <si>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</si>
  <si>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</si>
  <si>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</si>
  <si>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</si>
  <si>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</si>
  <si>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</si>
  <si>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</si>
  <si>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</si>
  <si>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</si>
  <si>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</si>
  <si>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</si>
  <si>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</si>
  <si>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</si>
  <si>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</si>
  <si>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</si>
  <si>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</si>
  <si>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</si>
  <si>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</si>
  <si>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</si>
  <si>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</si>
  <si>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</si>
  <si>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</si>
  <si>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</si>
  <si>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</si>
  <si>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</si>
  <si>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</si>
  <si>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</si>
  <si>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</si>
  <si>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</si>
  <si>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</si>
  <si>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</si>
  <si>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</si>
  <si>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</si>
  <si>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</si>
  <si>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</si>
  <si>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</si>
  <si>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</si>
  <si>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</si>
  <si>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</si>
  <si>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</si>
  <si>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</si>
  <si>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</si>
  <si>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</si>
  <si>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</si>
  <si>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</si>
  <si>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</si>
  <si>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</si>
  <si>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</si>
  <si>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</si>
  <si>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</si>
  <si>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</si>
  <si>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</si>
  <si>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</si>
  <si>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</si>
  <si>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</si>
  <si>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</si>
  <si>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</si>
  <si>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</si>
  <si>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</si>
  <si>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</si>
  <si>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</si>
  <si>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</si>
  <si>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</si>
  <si>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</si>
  <si>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</si>
  <si>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</si>
  <si>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</si>
  <si>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</si>
  <si>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</si>
  <si>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</si>
  <si>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</si>
  <si>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</si>
  <si>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</si>
  <si>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</si>
  <si>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</si>
  <si>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</si>
  <si>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</si>
  <si>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</si>
  <si>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</si>
  <si>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</si>
  <si>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</si>
  <si>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</si>
  <si>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</si>
  <si>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</si>
  <si>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</si>
  <si>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</si>
  <si>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</si>
  <si>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</si>
  <si>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</si>
  <si>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</si>
  <si>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</si>
  <si>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</si>
  <si>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</si>
  <si>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</si>
  <si>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</si>
  <si>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</si>
  <si>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</si>
  <si>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</si>
  <si>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</si>
  <si>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</si>
  <si>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</si>
  <si>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</si>
  <si>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</si>
  <si>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</si>
  <si>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</si>
  <si>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</si>
  <si>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</si>
  <si>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</si>
  <si>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</si>
  <si>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</si>
  <si>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</si>
  <si>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</si>
  <si>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</si>
  <si>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</si>
  <si>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</si>
  <si>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</si>
  <si>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</si>
  <si>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</si>
  <si>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</si>
  <si>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</si>
  <si>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</si>
  <si>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</si>
  <si>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</si>
  <si>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</si>
  <si>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</si>
  <si>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</si>
  <si>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</si>
  <si>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</si>
  <si>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</si>
  <si>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</si>
  <si>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</si>
  <si>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</si>
  <si>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</si>
  <si>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</si>
  <si>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</si>
  <si>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</si>
  <si>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</si>
  <si>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</si>
  <si>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</si>
  <si>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</si>
  <si>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</si>
  <si>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</si>
  <si>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</si>
  <si>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</si>
  <si>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</si>
  <si>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</si>
  <si>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</si>
  <si>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</si>
  <si>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</si>
  <si>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</si>
  <si>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</si>
  <si>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</si>
  <si>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</si>
  <si>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</si>
  <si>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</si>
  <si>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</si>
  <si>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</si>
  <si>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</si>
  <si>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</si>
  <si>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</si>
  <si>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</si>
  <si>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</si>
  <si>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</si>
  <si>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</si>
  <si>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</si>
  <si>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</si>
  <si>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</si>
  <si>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</si>
  <si>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</si>
  <si>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</si>
  <si>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</si>
  <si>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</si>
  <si>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</si>
  <si>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</si>
  <si>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</si>
  <si>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</si>
  <si>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</si>
  <si>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</si>
  <si>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</si>
  <si>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</si>
  <si>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</si>
  <si>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</si>
  <si>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</si>
  <si>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</si>
  <si>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</si>
  <si>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</si>
  <si>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</si>
  <si>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</si>
  <si>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</si>
  <si>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</si>
  <si>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</si>
  <si>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</si>
  <si>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</si>
  <si>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</si>
  <si>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</si>
  <si>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</si>
  <si>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</si>
  <si>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</si>
  <si>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</si>
  <si>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</si>
  <si>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</si>
  <si>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</si>
  <si>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</si>
  <si>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</si>
  <si>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</si>
  <si>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</si>
  <si>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</si>
  <si>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</si>
  <si>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</si>
  <si>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</si>
  <si>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</si>
  <si>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</si>
  <si>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</si>
  <si>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</si>
  <si>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</si>
  <si>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</si>
  <si>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</si>
  <si>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</si>
  <si>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</si>
  <si>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</si>
  <si>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</si>
  <si>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</si>
  <si>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</si>
  <si>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</si>
  <si>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</si>
  <si>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</si>
  <si>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</si>
  <si>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</si>
  <si>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</si>
  <si>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</si>
  <si>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</si>
  <si>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</si>
  <si>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</si>
  <si>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</si>
  <si>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</si>
  <si>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</si>
  <si>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</si>
  <si>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</si>
  <si>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</si>
  <si>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</si>
  <si>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</si>
  <si>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</si>
  <si>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</si>
  <si>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</si>
  <si>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</si>
  <si>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</si>
  <si>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</si>
  <si>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</si>
  <si>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</si>
  <si>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</si>
  <si>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</si>
  <si>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</si>
  <si>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</si>
  <si>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</si>
  <si>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</si>
  <si>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</si>
  <si>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</si>
  <si>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</si>
  <si>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</si>
  <si>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</si>
  <si>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</si>
  <si>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</si>
  <si>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</si>
  <si>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</si>
  <si>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</si>
  <si>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</si>
  <si>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</si>
  <si>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</si>
  <si>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</si>
  <si>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</si>
  <si>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</si>
  <si>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</si>
  <si>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</si>
  <si>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</si>
  <si>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</si>
  <si>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</si>
  <si>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</si>
  <si>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</si>
  <si>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</si>
  <si>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</si>
  <si>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</si>
  <si>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</si>
  <si>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</si>
  <si>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</si>
  <si>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</si>
  <si>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</si>
  <si>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</si>
  <si>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</si>
  <si>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</si>
  <si>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</si>
  <si>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</si>
  <si>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</si>
  <si>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</si>
  <si>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</si>
  <si>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</si>
  <si>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</si>
  <si>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</si>
  <si>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</si>
  <si>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</si>
  <si>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</si>
  <si>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</si>
  <si>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</si>
  <si>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</si>
  <si>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</si>
  <si>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</si>
  <si>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</si>
  <si>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</si>
  <si>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</si>
  <si>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</si>
  <si>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</si>
  <si>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</si>
  <si>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</si>
  <si>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</si>
  <si>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</si>
  <si>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</si>
  <si>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</si>
  <si>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</si>
  <si>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</si>
  <si>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</si>
  <si>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</si>
  <si>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</si>
  <si>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</si>
  <si>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</si>
  <si>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</si>
  <si>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</si>
  <si>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</si>
  <si>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</si>
  <si>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</si>
  <si>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</si>
  <si>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</si>
  <si>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</si>
  <si>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</si>
  <si>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</si>
  <si>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</si>
  <si>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</si>
  <si>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</si>
  <si>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</si>
  <si>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</si>
  <si>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</si>
  <si>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</si>
  <si>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</si>
  <si>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</si>
  <si>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</si>
  <si>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</si>
  <si>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</si>
  <si>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</si>
  <si>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</si>
  <si>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</si>
  <si>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</si>
  <si>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</si>
  <si>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</si>
  <si>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</si>
  <si>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</si>
  <si>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</si>
  <si>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</si>
  <si>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</si>
  <si>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</si>
  <si>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</si>
  <si>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</si>
  <si>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</si>
  <si>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</si>
  <si>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</si>
  <si>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</si>
  <si>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</si>
  <si>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</si>
  <si>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</si>
  <si>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</si>
  <si>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</si>
  <si>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</si>
  <si>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</si>
  <si>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</si>
  <si>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</si>
  <si>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</si>
  <si>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</si>
  <si>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</si>
  <si>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</si>
  <si>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</si>
  <si>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</si>
  <si>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</si>
  <si>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</si>
  <si>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</si>
  <si>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</si>
  <si>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</si>
  <si>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</si>
  <si>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</si>
  <si>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</si>
  <si>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</si>
  <si>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</si>
  <si>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</si>
  <si>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</si>
  <si>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</si>
  <si>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</si>
  <si>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</si>
  <si>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</si>
  <si>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</si>
  <si>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</si>
  <si>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</si>
  <si>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</si>
  <si>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</si>
  <si>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</si>
  <si>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</si>
  <si>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</si>
  <si>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</si>
  <si>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</si>
  <si>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</si>
  <si>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</si>
  <si>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</si>
  <si>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</si>
  <si>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</si>
  <si>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</si>
  <si>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</si>
  <si>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</si>
  <si>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</si>
  <si>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</si>
  <si>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</si>
  <si>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</si>
  <si>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</si>
  <si>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</si>
  <si>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</si>
  <si>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</si>
  <si>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</si>
  <si>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</si>
  <si>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</si>
  <si>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</si>
  <si>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</si>
  <si>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</si>
  <si>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</si>
  <si>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</si>
  <si>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</si>
  <si>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</si>
  <si>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</si>
  <si>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</si>
  <si>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</si>
  <si>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</si>
  <si>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</si>
  <si>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</si>
  <si>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</si>
  <si>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</si>
  <si>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</si>
  <si>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</si>
  <si>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</si>
  <si>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</si>
  <si>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</si>
  <si>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</si>
  <si>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</si>
  <si>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</si>
  <si>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</si>
  <si>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</si>
  <si>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</si>
  <si>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</si>
  <si>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</si>
  <si>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</si>
  <si>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</si>
  <si>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</si>
  <si>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</si>
  <si>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</si>
  <si>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</si>
  <si>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</si>
  <si>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</si>
  <si>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</si>
  <si>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</si>
  <si>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</si>
  <si>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</si>
  <si>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</si>
  <si>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</si>
  <si>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</si>
  <si>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</si>
  <si>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</si>
  <si>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</si>
  <si>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</si>
  <si>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</si>
  <si>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</si>
  <si>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</si>
  <si>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</si>
  <si>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</si>
  <si>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</si>
  <si>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</si>
  <si>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</si>
  <si>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</si>
  <si>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</si>
  <si>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</si>
  <si>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</si>
  <si>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</si>
  <si>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</si>
  <si>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</si>
  <si>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</si>
  <si>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</si>
  <si>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</si>
  <si>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</si>
  <si>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</si>
  <si>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</si>
  <si>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</si>
  <si>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</si>
  <si>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</si>
  <si>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</si>
  <si>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</si>
  <si>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</si>
  <si>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</si>
  <si>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</si>
  <si>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</si>
  <si>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</si>
  <si>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</si>
  <si>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</si>
  <si>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</si>
  <si>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</si>
  <si>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</si>
  <si>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</si>
  <si>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</si>
  <si>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</si>
  <si>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</si>
  <si>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</si>
  <si>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</si>
  <si>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</si>
  <si>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</si>
  <si>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</si>
  <si>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</si>
  <si>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</si>
  <si>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</si>
  <si>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</si>
  <si>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</si>
  <si>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</si>
  <si>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</si>
  <si>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</si>
  <si>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</si>
  <si>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</si>
  <si>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</si>
  <si>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</si>
  <si>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</si>
  <si>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</si>
  <si>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</si>
  <si>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</si>
  <si>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</si>
  <si>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</si>
  <si>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</si>
  <si>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</si>
  <si>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</si>
  <si>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</si>
  <si>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</si>
  <si>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</si>
  <si>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</si>
  <si>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</si>
  <si>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</si>
  <si>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</si>
  <si>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</si>
  <si>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</si>
  <si>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</si>
  <si>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</si>
  <si>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</si>
  <si>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</si>
  <si>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</si>
  <si>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</si>
  <si>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</si>
  <si>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</si>
  <si>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</si>
  <si>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</si>
  <si>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</si>
  <si>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</si>
  <si>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</si>
  <si>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</si>
  <si>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</si>
  <si>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</si>
  <si>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</si>
  <si>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</si>
  <si>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</si>
  <si>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</si>
  <si>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</si>
  <si>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</si>
  <si>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</si>
  <si>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</si>
  <si>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</si>
  <si>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</si>
  <si>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</si>
  <si>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</si>
  <si>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</si>
  <si>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</si>
  <si>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</si>
  <si>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</si>
  <si>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</si>
  <si>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</si>
  <si>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</si>
  <si>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</si>
  <si>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</si>
  <si>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</si>
  <si>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</si>
  <si>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</si>
  <si>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</si>
  <si>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</si>
  <si>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</si>
  <si>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</si>
  <si>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</si>
  <si>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</si>
  <si>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</si>
  <si>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</si>
  <si>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</si>
  <si>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</si>
  <si>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</si>
  <si>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</si>
  <si>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</si>
  <si>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</si>
  <si>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</si>
  <si>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</si>
  <si>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</si>
  <si>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</si>
  <si>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</si>
  <si>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</si>
  <si>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</si>
  <si>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</si>
  <si>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</si>
  <si>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</si>
  <si>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</si>
  <si>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</si>
  <si>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</si>
  <si>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</si>
  <si>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</si>
  <si>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</si>
  <si>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</si>
  <si>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</si>
  <si>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</si>
  <si>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</si>
  <si>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</si>
  <si>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</si>
  <si>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</si>
  <si>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</si>
  <si>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</si>
  <si>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</si>
  <si>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</si>
  <si>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</si>
  <si>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</si>
  <si>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</si>
  <si>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</si>
  <si>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</si>
  <si>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</si>
  <si>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</si>
  <si>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</si>
  <si>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</si>
  <si>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</si>
  <si>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</si>
  <si>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</si>
  <si>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</si>
  <si>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</si>
  <si>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</si>
  <si>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</si>
  <si>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</si>
  <si>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</si>
  <si>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</si>
  <si>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</si>
  <si>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</si>
  <si>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</si>
  <si>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</si>
  <si>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</si>
  <si>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</si>
  <si>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</si>
  <si>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</si>
  <si>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</si>
  <si>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</si>
  <si>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</si>
  <si>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</si>
  <si>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</si>
  <si>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</si>
  <si>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</si>
  <si>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</si>
  <si>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</si>
  <si>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</si>
  <si>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</si>
  <si>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</si>
  <si>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</si>
  <si>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</si>
  <si>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</si>
  <si>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</si>
  <si>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</si>
  <si>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</si>
  <si>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</si>
  <si>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</si>
  <si>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</si>
  <si>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</si>
  <si>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</si>
  <si>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</si>
  <si>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</si>
  <si>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</si>
  <si>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</si>
  <si>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</si>
  <si>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</si>
  <si>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</si>
  <si>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</si>
  <si>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</si>
  <si>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</si>
  <si>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</si>
  <si>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</si>
  <si>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</si>
  <si>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</si>
  <si>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</si>
  <si>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</si>
  <si>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</si>
  <si>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</si>
  <si>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</si>
  <si>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</si>
  <si>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</si>
  <si>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</si>
  <si>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</si>
  <si>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</si>
  <si>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</si>
  <si>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</si>
  <si>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</si>
  <si>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</si>
  <si>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</si>
  <si>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</si>
  <si>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</si>
  <si>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</si>
  <si>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</si>
  <si>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</si>
  <si>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</si>
  <si>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</si>
  <si>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</si>
  <si>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</si>
  <si>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</si>
  <si>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</si>
  <si>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</si>
  <si>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</si>
  <si>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</si>
  <si>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</si>
  <si>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</si>
  <si>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</si>
  <si>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</si>
  <si>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</si>
  <si>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</si>
  <si>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</si>
  <si>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</si>
  <si>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</si>
  <si>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</si>
  <si>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</si>
  <si>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</si>
  <si>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</si>
  <si>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</si>
  <si>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</si>
  <si>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</si>
  <si>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</si>
  <si>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</si>
  <si>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</si>
  <si>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</si>
  <si>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</si>
  <si>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</si>
  <si>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</si>
  <si>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</si>
  <si>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</si>
  <si>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</si>
  <si>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</si>
  <si>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</si>
  <si>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</si>
  <si>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</si>
  <si>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</si>
  <si>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</si>
  <si>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</si>
  <si>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</si>
  <si>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</si>
  <si>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</si>
  <si>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</si>
  <si>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</si>
  <si>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</si>
  <si>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</si>
  <si>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</si>
  <si>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</si>
  <si>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</si>
  <si>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</si>
  <si>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</si>
  <si>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</si>
  <si>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</si>
  <si>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</si>
  <si>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</si>
  <si>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</si>
  <si>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</si>
  <si>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</si>
  <si>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</si>
  <si>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</si>
  <si>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</si>
  <si>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</si>
  <si>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</si>
  <si>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</si>
  <si>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</si>
  <si>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</si>
  <si>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</si>
  <si>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</si>
  <si>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</si>
  <si>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</si>
  <si>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</si>
  <si>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</si>
  <si>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</si>
  <si>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</si>
  <si>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</si>
  <si>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</si>
  <si>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</si>
  <si>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</si>
  <si>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</si>
  <si>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</si>
  <si>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</si>
  <si>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</si>
  <si>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</si>
  <si>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</si>
  <si>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</si>
  <si>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</si>
  <si>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</si>
  <si>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</si>
  <si>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</si>
  <si>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</si>
  <si>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</si>
  <si>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</si>
  <si>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</si>
  <si>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</si>
  <si>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</si>
  <si>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</si>
  <si>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</si>
  <si>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</si>
  <si>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</si>
  <si>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</si>
  <si>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</si>
  <si>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</si>
  <si>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</si>
  <si>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</si>
  <si>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</si>
  <si>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</si>
  <si>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</si>
  <si>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</si>
  <si>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</si>
  <si>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</si>
  <si>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</si>
  <si>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</si>
  <si>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</si>
  <si>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</si>
  <si>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</si>
  <si>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</si>
  <si>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</si>
  <si>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</si>
  <si>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</si>
  <si>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</si>
  <si>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</si>
  <si>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</si>
  <si>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</si>
  <si>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</si>
  <si>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</si>
  <si>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</si>
  <si>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</si>
  <si>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</si>
  <si>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</si>
  <si>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</si>
  <si>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</si>
  <si>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</si>
  <si>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</si>
  <si>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</si>
  <si>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</si>
  <si>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</si>
  <si>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</si>
  <si>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</si>
  <si>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</si>
  <si>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</si>
  <si>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</si>
  <si>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</si>
  <si>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</si>
  <si>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</si>
  <si>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</si>
  <si>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</si>
  <si>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</si>
  <si>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</si>
  <si>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</si>
  <si>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</si>
  <si>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</si>
  <si>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</si>
  <si>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</si>
  <si>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</si>
  <si>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</si>
  <si>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</si>
  <si>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</si>
  <si>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</si>
  <si>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</si>
  <si>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</si>
  <si>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</si>
  <si>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</si>
  <si>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</si>
  <si>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</si>
  <si>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</si>
  <si>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</si>
  <si>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</si>
  <si>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</si>
  <si>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</si>
  <si>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</si>
  <si>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</si>
  <si>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</si>
  <si>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</si>
  <si>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</si>
  <si>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</si>
  <si>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</si>
  <si>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</si>
  <si>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</si>
  <si>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</si>
  <si>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</si>
  <si>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</si>
  <si>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</si>
  <si>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</si>
  <si>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</si>
  <si>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</si>
  <si>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</si>
  <si>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</si>
  <si>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</si>
  <si>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</si>
  <si>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</si>
  <si>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</si>
  <si>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</si>
  <si>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</si>
  <si>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</si>
  <si>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</si>
  <si>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</si>
  <si>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</si>
  <si>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</si>
  <si>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</si>
  <si>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</si>
  <si>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</si>
  <si>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</si>
  <si>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</si>
  <si>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</si>
  <si>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</si>
  <si>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</si>
  <si>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</si>
  <si>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</si>
  <si>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</si>
  <si>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</si>
  <si>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</si>
  <si>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</si>
  <si>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</si>
  <si>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</si>
  <si>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</si>
  <si>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</si>
  <si>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</si>
  <si>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</si>
  <si>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</si>
  <si>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</si>
  <si>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</si>
  <si>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</si>
  <si>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</si>
  <si>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</si>
  <si>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</si>
  <si>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</si>
  <si>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</si>
  <si>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</si>
  <si>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</si>
  <si>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</si>
  <si>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</si>
  <si>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</si>
  <si>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</si>
  <si>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</si>
  <si>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</si>
  <si>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</si>
  <si>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</si>
  <si>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</si>
  <si>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</si>
  <si>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</si>
  <si>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</si>
  <si>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</si>
  <si>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</si>
  <si>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</si>
  <si>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</si>
  <si>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</si>
  <si>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</si>
  <si>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</si>
  <si>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</si>
  <si>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</si>
  <si>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</si>
  <si>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</si>
  <si>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</si>
  <si>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</si>
  <si>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</si>
  <si>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</si>
  <si>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</si>
  <si>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</si>
  <si>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</si>
  <si>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</si>
  <si>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</si>
  <si>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</si>
  <si>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</si>
  <si>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</si>
  <si>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</si>
  <si>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</si>
  <si>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</si>
  <si>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</si>
  <si>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</si>
  <si>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</si>
  <si>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</si>
  <si>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</si>
  <si>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</si>
  <si>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</si>
  <si>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</si>
  <si>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</si>
  <si>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</si>
  <si>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</si>
  <si>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</si>
  <si>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</si>
  <si>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</si>
  <si>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</si>
  <si>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</si>
  <si>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</si>
  <si>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</si>
  <si>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</si>
  <si>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</si>
  <si>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</si>
  <si>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</si>
  <si>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</si>
  <si>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</si>
  <si>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</si>
  <si>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</si>
  <si>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</si>
  <si>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</si>
  <si>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</si>
  <si>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</si>
  <si>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</si>
  <si>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</si>
  <si>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</si>
  <si>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</si>
  <si>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</si>
  <si>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</si>
  <si>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</si>
  <si>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</si>
  <si>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</si>
  <si>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</si>
  <si>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</si>
  <si>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</si>
  <si>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</si>
  <si>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</si>
  <si>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</si>
  <si>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</si>
  <si>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</si>
  <si>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</si>
  <si>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</si>
  <si>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</si>
  <si>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</si>
  <si>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</si>
  <si>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</si>
  <si>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</si>
  <si>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</si>
  <si>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</si>
  <si>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</si>
  <si>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</si>
  <si>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</si>
  <si>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</si>
  <si>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</si>
  <si>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</si>
  <si>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</si>
  <si>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</si>
  <si>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</si>
  <si>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</si>
  <si>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</si>
  <si>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</si>
  <si>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</si>
  <si>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</si>
  <si>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</si>
  <si>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</si>
  <si>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</si>
  <si>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</si>
  <si>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</si>
  <si>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</si>
  <si>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</si>
  <si>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</si>
  <si>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</si>
  <si>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</si>
  <si>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</si>
  <si>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</si>
  <si>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</si>
  <si>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</si>
  <si>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</si>
  <si>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</si>
  <si>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</si>
  <si>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</si>
  <si>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</si>
  <si>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</si>
  <si>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</si>
  <si>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</si>
  <si>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</si>
  <si>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</si>
  <si>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</si>
  <si>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</si>
  <si>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</si>
  <si>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</si>
  <si>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</si>
  <si>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</si>
  <si>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</si>
  <si>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</si>
  <si>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</si>
  <si>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</si>
  <si>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</si>
  <si>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</si>
  <si>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</si>
  <si>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</si>
  <si>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</si>
  <si>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</si>
  <si>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</si>
  <si>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</si>
  <si>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</si>
  <si>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</si>
  <si>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</si>
  <si>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</si>
  <si>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</si>
  <si>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</si>
  <si>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</si>
  <si>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</si>
  <si>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</si>
  <si>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</si>
  <si>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</si>
  <si>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</si>
  <si>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</si>
  <si>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</si>
  <si>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</si>
  <si>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</si>
  <si>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</si>
  <si>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</si>
  <si>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</si>
  <si>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</si>
  <si>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</si>
  <si>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</si>
  <si>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</si>
  <si>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</si>
  <si>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</si>
  <si>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</si>
  <si>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</si>
  <si>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</si>
  <si>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</si>
  <si>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</si>
  <si>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</si>
  <si>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</si>
  <si>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</si>
  <si>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</si>
  <si>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</si>
  <si>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</si>
  <si>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</si>
  <si>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</si>
  <si>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</si>
  <si>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</si>
  <si>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</si>
  <si>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</si>
  <si>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</si>
  <si>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</si>
  <si>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</si>
  <si>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</si>
  <si>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</si>
  <si>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</si>
  <si>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</si>
  <si>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</si>
  <si>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</si>
  <si>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</si>
  <si>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</si>
  <si>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</si>
  <si>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</si>
  <si>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</si>
  <si>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</si>
  <si>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</si>
  <si>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</si>
  <si>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</si>
  <si>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</si>
  <si>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</si>
  <si>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</si>
  <si>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</si>
  <si>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</si>
  <si>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</si>
  <si>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</si>
  <si>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</si>
  <si>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</si>
  <si>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</si>
  <si>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</si>
  <si>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</si>
  <si>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</si>
  <si>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</si>
  <si>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</si>
  <si>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</si>
  <si>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</si>
  <si>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</si>
  <si>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</si>
  <si>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</si>
  <si>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</si>
  <si>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</si>
  <si>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</si>
  <si>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</si>
  <si>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</si>
  <si>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</si>
  <si>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</si>
  <si>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</si>
  <si>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</si>
  <si>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</si>
  <si>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</si>
  <si>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</si>
  <si>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</si>
  <si>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</si>
  <si>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</si>
  <si>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</si>
  <si>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</si>
  <si>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</si>
  <si>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</si>
  <si>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</si>
  <si>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</si>
  <si>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</si>
  <si>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</si>
  <si>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</si>
  <si>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</si>
  <si>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</si>
  <si>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</si>
  <si>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</si>
  <si>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</si>
  <si>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</si>
  <si>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</si>
  <si>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</si>
  <si>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</si>
  <si>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</si>
  <si>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</si>
  <si>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</si>
  <si>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</si>
  <si>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</si>
  <si>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</si>
  <si>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</si>
  <si>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</si>
  <si>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</si>
  <si>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</si>
  <si>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</si>
  <si>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</si>
  <si>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</si>
  <si>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</si>
  <si>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</si>
  <si>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</si>
  <si>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</si>
  <si>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</si>
  <si>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</si>
  <si>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</si>
  <si>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</si>
  <si>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</si>
  <si>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</si>
  <si>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</si>
  <si>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</si>
  <si>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</si>
  <si>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</si>
  <si>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</si>
  <si>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</si>
  <si>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</si>
  <si>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</si>
  <si>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</si>
  <si>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</si>
  <si>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</si>
  <si>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</si>
  <si>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</si>
  <si>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</si>
  <si>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</si>
  <si>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</si>
  <si>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</si>
  <si>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</si>
  <si>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</si>
  <si>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</si>
  <si>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</si>
  <si>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</si>
  <si>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</si>
  <si>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</si>
  <si>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</si>
  <si>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</si>
  <si>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</si>
  <si>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</si>
  <si>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</si>
  <si>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</si>
  <si>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</si>
  <si>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</si>
  <si>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</si>
  <si>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</si>
  <si>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</si>
  <si>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</si>
  <si>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</si>
  <si>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</si>
  <si>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</si>
  <si>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</si>
  <si>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</si>
  <si>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</si>
  <si>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</si>
  <si>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</si>
  <si>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</si>
  <si>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</si>
  <si>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</si>
  <si>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</si>
  <si>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</si>
  <si>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</si>
  <si>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</si>
  <si>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</si>
  <si>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</si>
  <si>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</si>
  <si>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</si>
  <si>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</si>
  <si>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</si>
  <si>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</si>
  <si>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</si>
  <si>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</si>
  <si>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</si>
  <si>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</si>
  <si>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</si>
  <si>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</si>
  <si>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</si>
  <si>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</si>
  <si>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</si>
  <si>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</si>
  <si>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</si>
  <si>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</si>
  <si>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</si>
  <si>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</si>
  <si>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</si>
  <si>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</si>
  <si>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</si>
  <si>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</si>
  <si>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</si>
  <si>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</si>
  <si>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</si>
  <si>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</si>
  <si>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</si>
  <si>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</si>
  <si>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</si>
  <si>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</si>
  <si>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</si>
  <si>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</si>
  <si>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</si>
  <si>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</si>
  <si>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</si>
  <si>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</si>
  <si>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</si>
  <si>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</si>
  <si>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</si>
  <si>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</si>
  <si>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</si>
  <si>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</si>
  <si>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</si>
  <si>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</si>
  <si>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</si>
  <si>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</si>
  <si>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</si>
  <si>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</si>
  <si>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</si>
  <si>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</si>
  <si>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</si>
  <si>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</si>
  <si>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</si>
  <si>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</si>
  <si>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</si>
  <si>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</si>
  <si>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</si>
  <si>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</si>
  <si>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</si>
  <si>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</si>
  <si>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</si>
  <si>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</si>
  <si>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</si>
  <si>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</si>
  <si>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</si>
  <si>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</si>
  <si>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</si>
  <si>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</si>
  <si>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</si>
  <si>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</si>
  <si>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</si>
  <si>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</si>
  <si>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</si>
  <si>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</si>
  <si>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</si>
  <si>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</si>
  <si>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</si>
  <si>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</si>
  <si>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</si>
  <si>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</si>
  <si>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</si>
  <si>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</si>
  <si>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</si>
  <si>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</si>
  <si>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</si>
  <si>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</si>
  <si>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</si>
  <si>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</si>
  <si>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</si>
  <si>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</si>
  <si>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</si>
  <si>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</si>
  <si>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</si>
  <si>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</si>
  <si>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</si>
  <si>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</si>
  <si>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</si>
  <si>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</si>
  <si>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</si>
  <si>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</si>
  <si>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</si>
  <si>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</si>
  <si>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</si>
  <si>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</si>
  <si>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</si>
  <si>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</si>
  <si>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</si>
  <si>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</si>
  <si>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</si>
  <si>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</si>
  <si>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</si>
  <si>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</si>
  <si>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</si>
  <si>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</si>
  <si>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</si>
  <si>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</si>
  <si>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</si>
  <si>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</si>
  <si>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</si>
  <si>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</si>
  <si>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</si>
  <si>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</si>
  <si>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</si>
  <si>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</si>
  <si>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</si>
  <si>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</si>
  <si>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</si>
  <si>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</si>
  <si>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</si>
  <si>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</si>
  <si>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</si>
  <si>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</si>
  <si>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</si>
  <si>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</si>
  <si>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</si>
  <si>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</si>
  <si>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</si>
  <si>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</si>
  <si>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</si>
  <si>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</si>
  <si>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</si>
  <si>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</si>
  <si>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</si>
  <si>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</si>
  <si>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</si>
  <si>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</si>
  <si>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</si>
  <si>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</si>
  <si>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</si>
  <si>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</si>
  <si>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</si>
  <si>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</si>
  <si>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</si>
  <si>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</si>
  <si>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</si>
  <si>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</si>
  <si>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</si>
  <si>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</si>
  <si>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</si>
  <si>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</si>
  <si>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</si>
  <si>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</si>
  <si>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</si>
  <si>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</si>
  <si>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</si>
  <si>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</si>
  <si>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</si>
  <si>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</si>
  <si>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</si>
  <si>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</si>
  <si>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</si>
  <si>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</si>
  <si>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</si>
  <si>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</si>
  <si>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</si>
  <si>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</si>
  <si>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</si>
  <si>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</si>
  <si>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</si>
  <si>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</si>
  <si>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</si>
  <si>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</si>
  <si>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</si>
  <si>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</si>
  <si>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</si>
  <si>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</si>
  <si>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</si>
  <si>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</si>
  <si>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</si>
  <si>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</si>
  <si>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</si>
  <si>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</si>
  <si>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</si>
  <si>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</si>
  <si>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</si>
  <si>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</si>
  <si>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</si>
  <si>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</si>
  <si>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</si>
  <si>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</si>
  <si>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</si>
  <si>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</si>
  <si>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</si>
  <si>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</si>
  <si>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</si>
  <si>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</si>
  <si>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</si>
  <si>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</si>
  <si>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</si>
  <si>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</si>
  <si>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</si>
  <si>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</si>
  <si>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</si>
  <si>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</si>
  <si>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</si>
  <si>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</si>
  <si>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</si>
  <si>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</si>
  <si>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</si>
  <si>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</si>
  <si>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</si>
  <si>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</si>
  <si>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</si>
  <si>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</si>
  <si>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</si>
  <si>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</si>
  <si>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</si>
  <si>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</si>
  <si>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</si>
  <si>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</si>
  <si>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</si>
  <si>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</si>
  <si>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</si>
  <si>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</si>
  <si>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</si>
  <si>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</si>
  <si>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</si>
  <si>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</si>
  <si>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</si>
  <si>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</si>
  <si>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</si>
  <si>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</si>
  <si>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</si>
  <si>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</si>
  <si>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</si>
  <si>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</si>
  <si>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</si>
  <si>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</si>
  <si>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</si>
  <si>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</si>
  <si>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</si>
  <si>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</si>
  <si>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</si>
  <si>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</si>
  <si>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</si>
  <si>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</si>
  <si>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</si>
  <si>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</si>
  <si>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</si>
  <si>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</si>
  <si>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</si>
  <si>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</si>
  <si>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</si>
  <si>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</si>
  <si>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</si>
  <si>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</si>
  <si>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</si>
  <si>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</si>
  <si>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</si>
  <si>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</si>
  <si>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</si>
  <si>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</si>
  <si>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</si>
  <si>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</si>
  <si>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</si>
  <si>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</si>
  <si>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</si>
  <si>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</si>
  <si>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</si>
  <si>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</si>
  <si>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</si>
  <si>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</si>
  <si>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</si>
  <si>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</si>
  <si>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</si>
  <si>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</si>
  <si>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</si>
  <si>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</si>
  <si>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</si>
  <si>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</si>
  <si>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</si>
  <si>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</si>
  <si>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</si>
  <si>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</si>
  <si>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</si>
  <si>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</si>
  <si>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</si>
  <si>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</si>
  <si>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</si>
  <si>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</si>
  <si>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</si>
  <si>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</si>
  <si>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</si>
  <si>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</si>
  <si>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</si>
  <si>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</si>
  <si>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</si>
  <si>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</si>
  <si>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</si>
  <si>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</si>
  <si>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</si>
  <si>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</si>
  <si>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</si>
  <si>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</si>
  <si>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</si>
  <si>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</si>
  <si>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</si>
  <si>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</si>
  <si>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</si>
  <si>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</si>
  <si>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</si>
  <si>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</si>
  <si>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</si>
  <si>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</si>
  <si>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</si>
  <si>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</si>
  <si>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</si>
  <si>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</si>
  <si>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</si>
  <si>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</si>
  <si>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</si>
  <si>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</si>
  <si>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</si>
  <si>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</si>
  <si>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</si>
  <si>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</si>
  <si>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</si>
  <si>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</si>
  <si>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</si>
  <si>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</si>
  <si>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</si>
  <si>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</si>
  <si>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</si>
  <si>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</si>
  <si>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</si>
  <si>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</si>
  <si>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</si>
  <si>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</si>
  <si>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</si>
  <si>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</si>
  <si>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</si>
  <si>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</si>
  <si>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</si>
  <si>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</si>
  <si>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</si>
  <si>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</si>
  <si>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</si>
  <si>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</si>
  <si>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</si>
  <si>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</si>
  <si>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</si>
  <si>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</si>
  <si>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</si>
  <si>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</si>
  <si>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</si>
  <si>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</si>
  <si>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</si>
  <si>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</si>
  <si>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</si>
  <si>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</si>
  <si>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</si>
  <si>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</si>
  <si>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</si>
  <si>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</si>
  <si>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</si>
  <si>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</si>
  <si>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</si>
  <si>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</si>
  <si>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</si>
  <si>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</si>
  <si>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</si>
  <si>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</si>
  <si>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</si>
  <si>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</si>
  <si>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</si>
  <si>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</si>
  <si>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</si>
  <si>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</si>
  <si>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</si>
  <si>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</si>
  <si>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</si>
  <si>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</si>
  <si>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</si>
  <si>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</si>
  <si>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</si>
  <si>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</si>
  <si>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</si>
  <si>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</si>
  <si>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</si>
  <si>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</si>
  <si>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</si>
  <si>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</si>
  <si>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</si>
  <si>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</si>
  <si>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</si>
  <si>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</si>
  <si>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</si>
  <si>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</si>
  <si>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</si>
  <si>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</si>
  <si>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</si>
  <si>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</si>
  <si>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</si>
  <si>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</si>
  <si>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</si>
  <si>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</si>
  <si>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</si>
  <si>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</si>
  <si>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</si>
  <si>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</si>
  <si>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</si>
  <si>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</si>
  <si>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</si>
  <si>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</si>
  <si>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</si>
  <si>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</si>
  <si>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</si>
  <si>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</si>
  <si>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</si>
  <si>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</si>
  <si>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</si>
  <si>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</si>
  <si>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</si>
  <si>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</si>
  <si>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</si>
  <si>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</si>
  <si>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</si>
  <si>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</si>
  <si>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</si>
  <si>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</si>
  <si>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</si>
  <si>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</si>
  <si>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</si>
  <si>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</si>
  <si>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</si>
  <si>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</si>
  <si>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</si>
  <si>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</si>
  <si>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</si>
  <si>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</si>
  <si>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</si>
  <si>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</si>
  <si>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</si>
  <si>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</si>
  <si>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</si>
  <si>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</si>
  <si>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</si>
  <si>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</si>
  <si>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</si>
  <si>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</si>
  <si>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</si>
  <si>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</si>
  <si>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</si>
  <si>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</si>
  <si>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</si>
  <si>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</si>
  <si>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</si>
  <si>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</si>
  <si>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</si>
  <si>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</si>
  <si>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</si>
  <si>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</si>
  <si>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</si>
  <si>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</si>
  <si>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</si>
  <si>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</si>
  <si>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</si>
  <si>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</si>
  <si>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</si>
  <si>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</si>
  <si>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</si>
  <si>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</si>
  <si>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</si>
  <si>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</si>
  <si>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</si>
  <si>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</si>
  <si>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</si>
  <si>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</si>
  <si>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</si>
  <si>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</si>
  <si>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</si>
  <si>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</si>
  <si>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</si>
  <si>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</si>
  <si>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</si>
  <si>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</si>
  <si>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</si>
  <si>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</si>
  <si>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</si>
  <si>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</si>
  <si>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</si>
  <si>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</si>
  <si>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</si>
  <si>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</si>
  <si>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</si>
  <si>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</si>
  <si>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</si>
  <si>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</si>
  <si>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</si>
  <si>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</si>
  <si>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</si>
  <si>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</si>
  <si>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</si>
  <si>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</si>
  <si>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</si>
  <si>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</si>
  <si>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</si>
  <si>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</si>
  <si>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</si>
  <si>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</si>
  <si>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</si>
  <si>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</si>
  <si>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</si>
  <si>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</si>
  <si>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</si>
  <si>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</si>
  <si>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</si>
  <si>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</si>
  <si>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</si>
  <si>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</si>
  <si>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</si>
  <si>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</si>
  <si>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</si>
  <si>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</si>
  <si>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</si>
  <si>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</si>
  <si>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</si>
  <si>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</si>
  <si>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</si>
  <si>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</si>
  <si>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</si>
  <si>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</si>
  <si>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</si>
  <si>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</si>
  <si>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</si>
  <si>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</si>
  <si>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</si>
  <si>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</si>
  <si>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</si>
  <si>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</si>
  <si>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</si>
  <si>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</si>
  <si>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</si>
  <si>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</si>
  <si>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</si>
  <si>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</si>
  <si>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</si>
  <si>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</si>
  <si>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</si>
  <si>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</si>
  <si>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</si>
  <si>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</si>
  <si>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</si>
  <si>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</si>
  <si>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</si>
  <si>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</si>
  <si>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</si>
  <si>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</si>
  <si>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</si>
  <si>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</si>
  <si>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</si>
  <si>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</si>
  <si>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</si>
  <si>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</si>
  <si>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</si>
  <si>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</si>
  <si>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</si>
  <si>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</si>
  <si>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</si>
  <si>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</si>
  <si>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</si>
  <si>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</si>
  <si>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</si>
  <si>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</si>
  <si>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</si>
  <si>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</si>
  <si>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</si>
  <si>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</si>
  <si>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</si>
  <si>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</si>
  <si>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</si>
  <si>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</si>
  <si>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</si>
  <si>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</si>
  <si>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</si>
  <si>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</si>
  <si>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</si>
  <si>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</si>
  <si>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</si>
  <si>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</si>
  <si>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</si>
  <si>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</si>
  <si>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</si>
  <si>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</si>
  <si>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</si>
  <si>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</si>
  <si>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</si>
  <si>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</si>
  <si>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</si>
  <si>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</si>
  <si>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</si>
  <si>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</si>
  <si>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</si>
  <si>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</si>
  <si>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</si>
  <si>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</si>
  <si>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</si>
  <si>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</si>
  <si>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</si>
  <si>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</si>
  <si>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</si>
  <si>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</si>
  <si>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</si>
  <si>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</si>
  <si>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</si>
  <si>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</si>
  <si>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</si>
  <si>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</si>
  <si>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</si>
  <si>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</si>
  <si>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</si>
  <si>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</si>
  <si>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</si>
  <si>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</si>
  <si>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</si>
  <si>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</si>
  <si>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</si>
  <si>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</si>
  <si>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</si>
  <si>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</si>
  <si>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</si>
  <si>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</si>
  <si>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</si>
  <si>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</si>
  <si>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</si>
  <si>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</si>
  <si>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</si>
  <si>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</si>
  <si>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</si>
  <si>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</si>
  <si>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</si>
  <si>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</si>
  <si>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</si>
  <si>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</si>
  <si>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</si>
  <si>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</si>
  <si>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</si>
  <si>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</si>
  <si>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</si>
  <si>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</si>
  <si>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</si>
  <si>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</si>
  <si>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</si>
  <si>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</si>
  <si>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</si>
  <si>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</si>
  <si>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</si>
  <si>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</si>
  <si>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</si>
  <si>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</si>
  <si>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</si>
  <si>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</si>
  <si>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</si>
  <si>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</si>
  <si>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</si>
  <si>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</si>
  <si>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</si>
  <si>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</si>
  <si>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</si>
  <si>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</si>
  <si>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</si>
  <si>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</si>
  <si>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</si>
  <si>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</si>
  <si>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</si>
  <si>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</si>
  <si>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</si>
  <si>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</si>
  <si>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</si>
  <si>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</si>
  <si>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</si>
  <si>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</si>
  <si>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</si>
  <si>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</si>
  <si>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</si>
  <si>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</si>
  <si>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</si>
  <si>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</si>
  <si>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</si>
  <si>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</si>
  <si>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</si>
  <si>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</si>
  <si>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</si>
  <si>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</si>
  <si>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</si>
  <si>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</si>
  <si>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</si>
  <si>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</si>
  <si>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</si>
  <si>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</si>
  <si>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</si>
  <si>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</si>
  <si>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</si>
  <si>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</si>
  <si>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</si>
  <si>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</si>
  <si>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</si>
  <si>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</si>
  <si>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</si>
  <si>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</si>
  <si>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</si>
  <si>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</si>
  <si>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</si>
  <si>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</si>
  <si>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</si>
  <si>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</si>
  <si>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</si>
  <si>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</si>
  <si>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</si>
  <si>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</si>
  <si>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</si>
  <si>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</si>
  <si>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</si>
  <si>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</si>
  <si>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</si>
  <si>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</si>
  <si>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</si>
  <si>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</si>
  <si>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</si>
  <si>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</si>
  <si>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</si>
  <si>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</si>
  <si>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</si>
  <si>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</si>
  <si>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</si>
  <si>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</si>
  <si>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</si>
  <si>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</si>
  <si>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</si>
  <si>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</si>
  <si>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</si>
  <si>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</si>
  <si>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</si>
  <si>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</si>
  <si>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</si>
  <si>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</si>
  <si>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</si>
  <si>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</si>
  <si>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</si>
  <si>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</si>
  <si>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</si>
  <si>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</si>
  <si>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</si>
  <si>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</si>
  <si>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</si>
  <si>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</si>
  <si>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</si>
  <si>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</si>
  <si>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</si>
  <si>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</si>
  <si>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</si>
  <si>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</si>
  <si>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</si>
  <si>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</si>
  <si>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</si>
  <si>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</si>
  <si>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</si>
  <si>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</si>
  <si>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</si>
  <si>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</si>
  <si>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</si>
  <si>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</si>
  <si>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</si>
  <si>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</si>
  <si>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</si>
  <si>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</si>
  <si>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</si>
  <si>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</si>
  <si>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</si>
  <si>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</si>
  <si>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</si>
  <si>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</si>
  <si>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</si>
  <si>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</si>
  <si>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</si>
  <si>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</si>
  <si>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</si>
  <si>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</si>
  <si>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</si>
  <si>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</si>
  <si>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</si>
  <si>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</si>
  <si>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</si>
  <si>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</si>
  <si>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</si>
  <si>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</si>
  <si>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</si>
  <si>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</si>
  <si>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</si>
  <si>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</si>
  <si>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</si>
  <si>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</si>
  <si>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</si>
  <si>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</si>
  <si>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</si>
  <si>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</si>
  <si>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</si>
  <si>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</si>
  <si>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</si>
  <si>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</si>
  <si>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</si>
  <si>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</si>
  <si>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</si>
  <si>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</si>
  <si>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</si>
  <si>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</si>
  <si>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</si>
  <si>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</si>
  <si>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</si>
  <si>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</si>
  <si>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</si>
  <si>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</si>
  <si>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</si>
  <si>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</si>
  <si>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</si>
  <si>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</si>
  <si>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</si>
  <si>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</si>
  <si>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</si>
  <si>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</si>
  <si>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</si>
  <si>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</si>
  <si>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</si>
  <si>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</si>
  <si>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</si>
  <si>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</si>
  <si>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</si>
  <si>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</si>
  <si>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</si>
  <si>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</si>
  <si>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</si>
  <si>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</si>
  <si>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</si>
  <si>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</si>
  <si>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</si>
  <si>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</si>
  <si>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</si>
  <si>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</si>
  <si>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</si>
  <si>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</si>
  <si>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</si>
  <si>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</si>
  <si>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</si>
  <si>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</si>
  <si>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</si>
  <si>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</si>
  <si>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</si>
  <si>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</si>
  <si>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</si>
  <si>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</si>
  <si>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</si>
  <si>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</si>
  <si>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</si>
  <si>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</si>
  <si>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</si>
  <si>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</si>
  <si>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</si>
  <si>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</si>
  <si>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</si>
  <si>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</si>
  <si>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</si>
  <si>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</si>
  <si>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</si>
  <si>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</si>
  <si>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</si>
  <si>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</si>
  <si>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</si>
  <si>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</si>
  <si>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</si>
  <si>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</si>
  <si>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</si>
  <si>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</si>
  <si>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</si>
  <si>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</si>
  <si>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</si>
  <si>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</si>
  <si>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</si>
  <si>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</si>
  <si>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</si>
  <si>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</si>
  <si>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</si>
  <si>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</si>
  <si>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</si>
  <si>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</si>
  <si>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</si>
  <si>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</si>
  <si>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</si>
  <si>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</si>
  <si>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</si>
  <si>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</si>
  <si>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</si>
  <si>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</si>
  <si>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</si>
  <si>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</si>
  <si>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</si>
  <si>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</si>
  <si>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</si>
  <si>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</si>
  <si>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</si>
  <si>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</si>
  <si>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</si>
  <si>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</si>
  <si>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</si>
  <si>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</si>
  <si>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</si>
  <si>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</si>
  <si>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</si>
  <si>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</si>
  <si>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</si>
  <si>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</si>
  <si>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</si>
  <si>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</si>
  <si>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</si>
  <si>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</si>
  <si>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</si>
  <si>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</si>
  <si>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</si>
  <si>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</si>
  <si>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</si>
  <si>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</si>
  <si>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</si>
  <si>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</si>
  <si>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</si>
  <si>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</si>
  <si>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</si>
  <si>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</si>
  <si>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</si>
  <si>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</si>
  <si>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</si>
  <si>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</si>
  <si>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</si>
  <si>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</si>
  <si>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</si>
  <si>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</si>
  <si>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</si>
  <si>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</si>
  <si>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</si>
  <si>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</si>
  <si>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</si>
  <si>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</si>
  <si>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</si>
  <si>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</si>
  <si>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</si>
  <si>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</si>
  <si>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</si>
  <si>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</si>
  <si>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</si>
  <si>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</si>
  <si>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</si>
  <si>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</si>
  <si>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</si>
  <si>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</si>
  <si>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</si>
  <si>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</si>
  <si>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</si>
  <si>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</si>
  <si>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</si>
  <si>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</si>
  <si>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</si>
  <si>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</si>
  <si>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</si>
  <si>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</si>
  <si>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</si>
  <si>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</si>
  <si>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</si>
  <si>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</si>
  <si>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</si>
  <si>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</si>
  <si>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</si>
  <si>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</si>
  <si>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</si>
  <si>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</si>
  <si>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</si>
  <si>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</si>
  <si>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</si>
  <si>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</si>
  <si>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</si>
  <si>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</si>
  <si>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</si>
  <si>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</si>
  <si>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</si>
  <si>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</si>
  <si>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</si>
  <si>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</si>
  <si>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</si>
  <si>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</si>
  <si>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</si>
  <si>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</si>
  <si>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</si>
  <si>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</si>
  <si>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</si>
  <si>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</si>
  <si>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</si>
  <si>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</si>
  <si>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</si>
  <si>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</si>
  <si>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</si>
  <si>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</si>
  <si>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</si>
  <si>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</si>
  <si>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</si>
  <si>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</si>
  <si>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</si>
  <si>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</si>
  <si>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</si>
  <si>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</si>
  <si>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</si>
  <si>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</si>
  <si>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</si>
  <si>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</si>
  <si>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</si>
  <si>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</si>
  <si>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</si>
  <si>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</si>
  <si>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</si>
  <si>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</si>
  <si>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</si>
  <si>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</si>
  <si>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</si>
  <si>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</si>
  <si>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</si>
  <si>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</si>
  <si>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</si>
  <si>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</si>
  <si>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</si>
  <si>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</si>
  <si>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</si>
  <si>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</si>
  <si>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</si>
  <si>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</si>
  <si>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</si>
  <si>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</si>
  <si>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</si>
  <si>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</si>
  <si>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</si>
  <si>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</si>
  <si>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</si>
  <si>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</si>
  <si>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</si>
  <si>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</si>
  <si>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</si>
  <si>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</si>
  <si>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</si>
  <si>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</si>
  <si>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</si>
  <si>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</si>
  <si>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</si>
  <si>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</si>
  <si>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</si>
  <si>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</si>
  <si>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</si>
  <si>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</si>
  <si>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</si>
  <si>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</si>
  <si>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</si>
  <si>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</si>
  <si>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</si>
  <si>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</si>
  <si>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</si>
  <si>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</si>
  <si>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</si>
  <si>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</si>
  <si>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</si>
  <si>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</si>
  <si>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</si>
  <si>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</si>
  <si>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</si>
  <si>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</si>
  <si>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</si>
  <si>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</si>
  <si>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</si>
  <si>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</si>
  <si>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</si>
  <si>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</si>
  <si>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</si>
  <si>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</si>
  <si>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</si>
  <si>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</si>
  <si>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</si>
  <si>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</si>
  <si>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</si>
  <si>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</si>
  <si>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</si>
  <si>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</si>
  <si>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</si>
  <si>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</si>
  <si>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</si>
  <si>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</si>
  <si>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</si>
  <si>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</si>
  <si>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</si>
  <si>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</si>
  <si>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</si>
  <si>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</si>
  <si>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</si>
  <si>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</si>
  <si>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</si>
  <si>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</si>
  <si>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</si>
  <si>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</si>
  <si>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</si>
  <si>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</si>
  <si>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</si>
  <si>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</si>
  <si>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</si>
  <si>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</si>
  <si>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</si>
  <si>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</si>
  <si>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</si>
  <si>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</si>
  <si>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</si>
  <si>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</si>
  <si>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</si>
  <si>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</si>
  <si>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</si>
  <si>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</si>
  <si>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</si>
  <si>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</si>
  <si>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</si>
  <si>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</si>
  <si>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</si>
  <si>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</si>
  <si>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</si>
  <si>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</si>
  <si>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</si>
  <si>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</si>
  <si>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</si>
  <si>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</si>
  <si>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</si>
  <si>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</si>
  <si>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</si>
  <si>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</si>
  <si>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</si>
  <si>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</si>
  <si>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</si>
  <si>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</si>
  <si>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</si>
  <si>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</si>
  <si>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</si>
  <si>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</si>
  <si>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</si>
  <si>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</si>
  <si>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</si>
  <si>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</si>
  <si>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</si>
  <si>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</si>
  <si>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</si>
  <si>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</si>
  <si>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</si>
  <si>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</si>
  <si>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</si>
  <si>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</si>
  <si>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</si>
  <si>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</si>
  <si>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</si>
  <si>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</si>
  <si>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</si>
  <si>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</si>
  <si>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</si>
  <si>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</si>
  <si>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</si>
  <si>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</si>
  <si>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</si>
  <si>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</si>
  <si>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</si>
  <si>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</si>
  <si>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</si>
  <si>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</si>
  <si>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</si>
  <si>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</si>
  <si>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</si>
  <si>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</si>
  <si>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</si>
  <si>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</si>
  <si>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</si>
  <si>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</si>
  <si>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</si>
  <si>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</si>
  <si>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</si>
  <si>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</si>
  <si>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</si>
  <si>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</si>
  <si>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</si>
  <si>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</si>
  <si>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</si>
  <si>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</si>
  <si>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</si>
  <si>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</si>
  <si>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</si>
  <si>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</si>
  <si>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</si>
  <si>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</si>
  <si>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</si>
  <si>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</si>
  <si>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</si>
  <si>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</si>
  <si>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</si>
  <si>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</si>
  <si>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</si>
  <si>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</si>
  <si>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</si>
  <si>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</si>
  <si>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</si>
  <si>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</si>
  <si>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</si>
  <si>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</si>
  <si>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</si>
  <si>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</si>
  <si>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</si>
  <si>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</si>
  <si>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</si>
  <si>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</si>
  <si>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</si>
  <si>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</si>
  <si>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</si>
  <si>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</si>
  <si>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</si>
  <si>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</si>
  <si>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</si>
  <si>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</si>
  <si>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</si>
  <si>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</si>
  <si>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</si>
  <si>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</si>
  <si>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</si>
  <si>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</si>
  <si>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</si>
  <si>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</si>
  <si>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</si>
  <si>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</si>
  <si>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</si>
  <si>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</si>
  <si>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</si>
  <si>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</si>
  <si>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</si>
  <si>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</si>
  <si>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</si>
  <si>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</si>
  <si>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</si>
  <si>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</si>
  <si>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</si>
  <si>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</si>
  <si>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</si>
  <si>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</si>
  <si>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</si>
  <si>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</si>
  <si>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</si>
  <si>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</si>
  <si>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</si>
  <si>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</si>
  <si>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</si>
  <si>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</si>
  <si>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</si>
  <si>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</si>
  <si>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</si>
  <si>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</si>
  <si>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</si>
  <si>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</si>
  <si>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</si>
  <si>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</si>
  <si>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</si>
  <si>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</si>
  <si>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</si>
  <si>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</si>
  <si>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</si>
  <si>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</si>
  <si>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</si>
  <si>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</si>
  <si>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</si>
  <si>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</si>
  <si>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</si>
  <si>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</si>
  <si>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</si>
  <si>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</si>
  <si>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</si>
  <si>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</si>
  <si>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</si>
  <si>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</si>
  <si>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</si>
  <si>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</si>
  <si>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</si>
  <si>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</si>
  <si>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</si>
  <si>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</si>
  <si>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</si>
  <si>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</si>
  <si>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</si>
  <si>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</si>
  <si>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</si>
  <si>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</si>
  <si>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</si>
  <si>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</si>
  <si>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</si>
  <si>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</si>
  <si>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</si>
  <si>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</si>
  <si>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</si>
  <si>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</si>
  <si>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</si>
  <si>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</si>
  <si>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</si>
  <si>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</si>
  <si>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</si>
  <si>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</si>
  <si>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</si>
  <si>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</si>
  <si>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</si>
  <si>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</si>
  <si>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</si>
  <si>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</si>
  <si>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</si>
  <si>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</si>
  <si>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</si>
  <si>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</si>
  <si>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</si>
  <si>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</si>
  <si>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</si>
  <si>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</si>
  <si>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</si>
  <si>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</si>
  <si>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</si>
  <si>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</si>
  <si>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</si>
  <si>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</si>
  <si>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</si>
  <si>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</si>
  <si>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</si>
  <si>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</si>
  <si>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</si>
  <si>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</si>
  <si>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</si>
  <si>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</si>
  <si>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</si>
  <si>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</si>
  <si>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</si>
  <si>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</si>
  <si>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</si>
  <si>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</si>
  <si>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</si>
  <si>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</si>
  <si>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</si>
  <si>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</si>
  <si>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</si>
  <si>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</si>
  <si>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</si>
  <si>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</si>
  <si>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</si>
  <si>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</si>
  <si>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</si>
  <si>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</si>
  <si>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</si>
  <si>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</si>
  <si>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</si>
  <si>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</si>
  <si>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</si>
  <si>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</si>
  <si>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</si>
  <si>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</si>
  <si>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</si>
  <si>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</si>
  <si>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</si>
  <si>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</si>
  <si>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</si>
  <si>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</si>
  <si>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</si>
  <si>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</si>
  <si>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</si>
  <si>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</si>
  <si>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</si>
  <si>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</si>
  <si>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</si>
  <si>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</si>
  <si>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</si>
  <si>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</si>
  <si>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</si>
  <si>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</si>
  <si>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</si>
  <si>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</si>
  <si>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</si>
  <si>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</si>
  <si>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</si>
  <si>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</si>
  <si>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</si>
  <si>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</si>
  <si>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</si>
  <si>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</si>
  <si>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</si>
  <si>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</si>
  <si>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</si>
  <si>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</si>
  <si>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</si>
  <si>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</si>
  <si>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</si>
  <si>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</si>
  <si>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</si>
  <si>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</si>
  <si>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</si>
  <si>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</si>
  <si>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</si>
  <si>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</si>
  <si>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</si>
  <si>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</si>
  <si>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</si>
  <si>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</si>
  <si>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</si>
  <si>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</si>
  <si>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</si>
  <si>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</si>
  <si>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</si>
  <si>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</si>
  <si>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</si>
  <si>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</si>
  <si>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</si>
  <si>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</si>
  <si>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</si>
  <si>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</si>
  <si>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</si>
  <si>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</si>
  <si>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</si>
  <si>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</si>
  <si>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</si>
  <si>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</si>
  <si>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</si>
  <si>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</si>
  <si>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</si>
  <si>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</si>
  <si>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</si>
  <si>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</si>
  <si>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</si>
  <si>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</si>
  <si>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</si>
  <si>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</si>
  <si>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</si>
  <si>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</si>
  <si>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</si>
  <si>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</si>
  <si>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</si>
  <si>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</si>
  <si>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</si>
  <si>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</si>
  <si>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</si>
  <si>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</si>
  <si>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</si>
  <si>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</si>
  <si>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</si>
  <si>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</si>
  <si>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</si>
  <si>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</si>
  <si>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</si>
  <si>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</si>
  <si>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</si>
  <si>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</si>
  <si>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</si>
  <si>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</si>
  <si>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</si>
  <si>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</si>
  <si>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</si>
  <si>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</si>
  <si>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</si>
  <si>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</si>
  <si>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</si>
  <si>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</si>
  <si>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</si>
  <si>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</si>
  <si>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</si>
  <si>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</si>
  <si>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</si>
  <si>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</si>
  <si>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</si>
  <si>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</si>
  <si>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</si>
  <si>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</si>
  <si>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</si>
  <si>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</si>
  <si>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</si>
  <si>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</si>
  <si>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</si>
  <si>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</si>
  <si>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</si>
  <si>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</si>
  <si>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</si>
  <si>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</si>
  <si>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</si>
  <si>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</si>
  <si>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</si>
  <si>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</si>
  <si>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</si>
  <si>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</si>
  <si>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</si>
  <si>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</si>
  <si>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</si>
  <si>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</si>
  <si>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</si>
  <si>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</si>
  <si>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</si>
  <si>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</si>
  <si>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</si>
  <si>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</si>
  <si>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</si>
  <si>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</si>
  <si>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</si>
  <si>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</si>
  <si>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</si>
  <si>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</si>
  <si>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</si>
  <si>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</si>
  <si>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</si>
  <si>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</si>
  <si>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</si>
  <si>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</si>
  <si>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</si>
  <si>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</si>
  <si>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</si>
  <si>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</si>
  <si>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</si>
  <si>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</si>
  <si>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</si>
  <si>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</si>
  <si>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</si>
  <si>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</si>
  <si>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</si>
  <si>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</si>
  <si>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</si>
  <si>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</si>
  <si>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</si>
  <si>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</si>
  <si>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</si>
  <si>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</si>
  <si>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</si>
  <si>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</si>
  <si>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</si>
  <si>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</si>
  <si>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</si>
  <si>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</si>
  <si>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</si>
  <si>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</si>
  <si>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</si>
  <si>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</si>
  <si>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</si>
  <si>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</si>
  <si>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</si>
  <si>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</si>
  <si>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</si>
  <si>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</si>
  <si>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</si>
  <si>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</si>
  <si>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</si>
  <si>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</si>
  <si>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</si>
  <si>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</si>
  <si>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</si>
  <si>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</si>
  <si>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</si>
  <si>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</si>
  <si>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</si>
  <si>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</si>
  <si>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</si>
  <si>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</si>
  <si>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</si>
  <si>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</si>
  <si>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</si>
  <si>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</si>
  <si>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</si>
  <si>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</si>
  <si>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</si>
  <si>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</si>
  <si>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</si>
  <si>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</si>
  <si>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</si>
  <si>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</si>
  <si>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</si>
  <si>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</si>
  <si>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</si>
  <si>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</si>
  <si>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</si>
  <si>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</si>
  <si>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</si>
  <si>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</si>
  <si>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</si>
  <si>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</si>
  <si>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</si>
  <si>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</si>
  <si>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</si>
  <si>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</si>
  <si>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</si>
  <si>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</si>
  <si>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</si>
  <si>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</si>
  <si>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</si>
  <si>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</si>
  <si>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</si>
  <si>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</si>
  <si>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</si>
  <si>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</si>
  <si>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</si>
  <si>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</si>
  <si>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</si>
  <si>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</si>
  <si>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</si>
  <si>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</si>
  <si>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</si>
  <si>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</si>
  <si>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</si>
  <si>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</si>
  <si>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</si>
  <si>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</si>
  <si>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</si>
  <si>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</si>
  <si>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</si>
  <si>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</si>
  <si>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</si>
  <si>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</si>
  <si>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</si>
  <si>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</si>
  <si>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</si>
  <si>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</si>
  <si>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</si>
  <si>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</si>
  <si>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</si>
  <si>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</si>
  <si>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</si>
  <si>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</si>
  <si>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</si>
  <si>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</si>
  <si>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</si>
  <si>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</si>
  <si>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</si>
  <si>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</si>
  <si>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</si>
  <si>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</si>
  <si>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</si>
  <si>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</si>
  <si>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</si>
  <si>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</si>
  <si>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</si>
  <si>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</si>
  <si>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</si>
  <si>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</si>
  <si>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</si>
  <si>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</si>
  <si>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</si>
  <si>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</si>
  <si>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</si>
  <si>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</si>
  <si>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</si>
  <si>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</si>
  <si>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</si>
  <si>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</si>
  <si>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</si>
  <si>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</si>
  <si>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</si>
  <si>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</si>
  <si>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</si>
  <si>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</si>
  <si>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</si>
  <si>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</si>
  <si>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</si>
  <si>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</si>
  <si>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</si>
  <si>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</si>
  <si>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</si>
  <si>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</si>
  <si>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</si>
  <si>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</si>
  <si>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</si>
  <si>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</si>
  <si>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</si>
  <si>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</si>
  <si>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</si>
  <si>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</si>
  <si>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</si>
  <si>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</si>
  <si>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</si>
  <si>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</si>
  <si>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</si>
  <si>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</si>
  <si>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</si>
  <si>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</si>
  <si>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</si>
  <si>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</si>
  <si>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</si>
  <si>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</si>
  <si>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</si>
  <si>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</si>
  <si>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</si>
  <si>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</si>
  <si>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</si>
  <si>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</si>
  <si>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</si>
  <si>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</si>
  <si>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</si>
  <si>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</si>
  <si>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</si>
  <si>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</si>
  <si>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</si>
  <si>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</si>
  <si>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</si>
  <si>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</si>
  <si>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</si>
  <si>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</si>
  <si>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</si>
  <si>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</si>
  <si>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</si>
  <si>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</si>
  <si>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</si>
  <si>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</si>
  <si>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</si>
  <si>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</si>
  <si>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</si>
  <si>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</si>
  <si>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</si>
  <si>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</si>
  <si>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</si>
  <si>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</si>
  <si>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</si>
  <si>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</si>
  <si>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</si>
  <si>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</si>
  <si>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</si>
  <si>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</si>
  <si>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</si>
  <si>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</si>
  <si>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</si>
  <si>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</si>
  <si>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</si>
  <si>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</si>
  <si>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</si>
  <si>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</si>
  <si>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</si>
  <si>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</si>
  <si>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</si>
  <si>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</si>
  <si>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</si>
  <si>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</si>
  <si>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</si>
  <si>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</si>
  <si>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</si>
  <si>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</si>
  <si>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</si>
  <si>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</si>
  <si>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</si>
  <si>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</si>
  <si>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</si>
  <si>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</si>
  <si>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</si>
  <si>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</si>
  <si>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</si>
  <si>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</si>
  <si>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</si>
  <si>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</si>
  <si>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</si>
  <si>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</si>
  <si>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</si>
  <si>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</si>
  <si>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</si>
  <si>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</si>
  <si>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</si>
  <si>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</si>
  <si>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</si>
  <si>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</si>
  <si>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</si>
  <si>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</si>
  <si>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</si>
  <si>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</si>
  <si>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</si>
  <si>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</si>
  <si>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</si>
  <si>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</si>
  <si>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</si>
  <si>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</si>
  <si>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</si>
  <si>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</si>
  <si>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</si>
  <si>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</si>
  <si>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</si>
  <si>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</si>
  <si>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</si>
  <si>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</si>
  <si>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</si>
  <si>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</si>
  <si>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</si>
  <si>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</si>
  <si>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</si>
  <si>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</si>
  <si>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</si>
  <si>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</si>
  <si>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</si>
  <si>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</si>
  <si>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</si>
  <si>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</si>
  <si>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</si>
  <si>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</si>
  <si>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</si>
  <si>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</si>
  <si>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</si>
  <si>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</si>
  <si>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</si>
  <si>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</si>
  <si>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</si>
  <si>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</si>
  <si>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</si>
  <si>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</si>
  <si>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</si>
  <si>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</si>
  <si>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</si>
  <si>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</si>
  <si>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</si>
  <si>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</si>
  <si>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</si>
  <si>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</si>
  <si>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</si>
  <si>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</si>
  <si>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</si>
  <si>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</si>
  <si>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</si>
  <si>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</si>
  <si>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</si>
  <si>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</si>
  <si>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</si>
  <si>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</si>
  <si>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</si>
  <si>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</si>
  <si>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</si>
  <si>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</si>
  <si>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</si>
  <si>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</si>
  <si>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</si>
  <si>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</si>
  <si>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</si>
  <si>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</si>
  <si>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</si>
  <si>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</si>
  <si>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</si>
  <si>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</si>
  <si>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</si>
  <si>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</si>
  <si>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</si>
  <si>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</si>
  <si>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</si>
  <si>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</si>
  <si>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</si>
  <si>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</si>
  <si>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</si>
  <si>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</si>
  <si>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</si>
  <si>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</si>
  <si>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</si>
  <si>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</si>
  <si>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</si>
  <si>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</si>
  <si>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</si>
  <si>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</si>
  <si>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</si>
  <si>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</si>
  <si>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</si>
  <si>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</si>
  <si>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</si>
  <si>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</si>
  <si>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</si>
  <si>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</si>
  <si>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</si>
  <si>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</si>
  <si>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</si>
  <si>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</si>
  <si>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</si>
  <si>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</si>
  <si>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</si>
  <si>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</si>
  <si>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</si>
  <si>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</si>
  <si>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</si>
  <si>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</si>
  <si>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</si>
  <si>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</si>
  <si>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</si>
  <si>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</si>
  <si>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</si>
  <si>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</si>
  <si>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</si>
  <si>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</si>
  <si>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</si>
  <si>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</si>
  <si>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</si>
  <si>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</si>
  <si>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</si>
  <si>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</si>
  <si>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</si>
  <si>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</si>
  <si>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</si>
  <si>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</si>
  <si>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</si>
  <si>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</si>
  <si>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</si>
  <si>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</si>
  <si>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</si>
  <si>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</si>
  <si>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</si>
  <si>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</si>
  <si>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</si>
  <si>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</si>
  <si>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</si>
  <si>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</si>
  <si>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</si>
  <si>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</si>
  <si>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</si>
  <si>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</si>
  <si>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</si>
  <si>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</si>
  <si>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</si>
  <si>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</si>
  <si>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</si>
  <si>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</si>
  <si>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</si>
  <si>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</si>
  <si>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</si>
  <si>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</si>
  <si>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</si>
  <si>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</si>
  <si>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</si>
  <si>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</si>
  <si>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</si>
  <si>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</si>
  <si>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</si>
  <si>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</si>
  <si>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</si>
  <si>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</si>
  <si>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</si>
  <si>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</si>
  <si>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</si>
  <si>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</si>
  <si>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</si>
  <si>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</si>
  <si>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</si>
  <si>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</si>
  <si>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</si>
  <si>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</si>
  <si>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</si>
  <si>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</si>
  <si>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</si>
  <si>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</si>
  <si>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</si>
  <si>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</si>
  <si>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</si>
  <si>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</si>
  <si>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</si>
  <si>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</si>
  <si>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</si>
  <si>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</si>
  <si>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</si>
  <si>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</si>
  <si>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</si>
  <si>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</si>
  <si>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</si>
  <si>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</si>
  <si>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</si>
  <si>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</si>
  <si>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</si>
  <si>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</si>
  <si>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</si>
  <si>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</si>
  <si>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</si>
  <si>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</si>
  <si>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</si>
  <si>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</si>
  <si>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</si>
  <si>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</si>
  <si>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</si>
  <si>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</si>
  <si>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</si>
  <si>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</si>
  <si>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</si>
  <si>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</si>
  <si>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</si>
  <si>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</si>
  <si>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</si>
  <si>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</si>
  <si>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</si>
  <si>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</si>
  <si>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</si>
  <si>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</si>
  <si>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</si>
  <si>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</si>
  <si>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</si>
  <si>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</si>
  <si>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</si>
  <si>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</si>
  <si>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</si>
  <si>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</si>
  <si>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</si>
  <si>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</si>
  <si>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</si>
  <si>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</si>
  <si>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</si>
  <si>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</si>
  <si>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</si>
  <si>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</si>
  <si>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</si>
  <si>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</si>
  <si>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</si>
  <si>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</si>
  <si>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</si>
  <si>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</si>
  <si>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</si>
  <si>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</si>
  <si>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</si>
  <si>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</si>
  <si>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</si>
  <si>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</si>
  <si>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</si>
  <si>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</si>
  <si>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</si>
  <si>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</si>
  <si>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</si>
  <si>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</si>
  <si>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</si>
  <si>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</si>
  <si>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</si>
  <si>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</si>
  <si>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</si>
  <si>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</si>
  <si>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</si>
  <si>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</si>
  <si>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</si>
  <si>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</si>
  <si>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</si>
  <si>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</si>
  <si>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</si>
  <si>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</si>
  <si>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</si>
  <si>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</si>
  <si>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</si>
  <si>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</si>
  <si>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</si>
  <si>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</si>
  <si>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</si>
  <si>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</si>
  <si>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</si>
  <si>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</si>
  <si>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</si>
  <si>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</si>
  <si>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</si>
  <si>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</si>
  <si>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</si>
  <si>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</si>
  <si>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</si>
  <si>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</si>
  <si>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</si>
  <si>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</si>
  <si>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</si>
  <si>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</si>
  <si>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</si>
  <si>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</si>
  <si>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</si>
  <si>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</si>
  <si>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</si>
  <si>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</si>
  <si>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</si>
  <si>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</si>
  <si>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</si>
  <si>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</si>
  <si>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</si>
  <si>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</si>
  <si>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</si>
  <si>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</si>
  <si>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</si>
  <si>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</si>
  <si>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</si>
  <si>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</si>
  <si>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</si>
  <si>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</si>
  <si>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</si>
  <si>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</si>
  <si>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</si>
  <si>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</si>
  <si>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</si>
  <si>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</si>
  <si>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</si>
  <si>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</si>
  <si>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</si>
  <si>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</si>
  <si>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</si>
  <si>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</si>
  <si>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</si>
  <si>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</si>
  <si>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</si>
  <si>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</si>
  <si>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</si>
  <si>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</si>
  <si>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</si>
  <si>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</si>
  <si>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</si>
  <si>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</si>
  <si>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</si>
  <si>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</si>
  <si>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</si>
  <si>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</si>
  <si>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</si>
  <si>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</si>
  <si>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</si>
  <si>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</si>
  <si>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</si>
  <si>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</si>
  <si>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</si>
  <si>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</si>
  <si>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</si>
  <si>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</si>
  <si>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</si>
  <si>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</si>
  <si>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</si>
  <si>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</si>
  <si>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</si>
  <si>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</si>
  <si>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</si>
  <si>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</si>
  <si>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</si>
  <si>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</si>
  <si>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</si>
  <si>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</si>
  <si>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</si>
  <si>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</si>
  <si>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</si>
  <si>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</si>
  <si>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</si>
  <si>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</si>
  <si>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</si>
  <si>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</si>
  <si>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</si>
  <si>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</si>
  <si>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</si>
  <si>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</si>
  <si>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</si>
  <si>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</si>
  <si>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</si>
  <si>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</si>
  <si>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</si>
  <si>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</si>
  <si>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</si>
  <si>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</si>
  <si>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</si>
  <si>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</si>
  <si>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</si>
  <si>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</si>
  <si>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</si>
  <si>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</si>
  <si>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</si>
  <si>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</si>
  <si>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</si>
  <si>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</si>
  <si>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</si>
  <si>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</si>
  <si>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</si>
  <si>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</si>
  <si>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</si>
  <si>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</si>
  <si>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</si>
  <si>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</si>
  <si>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</si>
  <si>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</si>
  <si>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</si>
  <si>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</si>
  <si>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</si>
  <si>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</si>
  <si>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</si>
  <si>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</si>
  <si>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</si>
  <si>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</si>
  <si>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</si>
  <si>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</si>
  <si>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</si>
  <si>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</si>
  <si>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</si>
  <si>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</si>
  <si>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</si>
  <si>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</si>
  <si>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</si>
  <si>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</si>
  <si>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</si>
  <si>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</si>
  <si>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</si>
  <si>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</si>
  <si>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</si>
  <si>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</si>
  <si>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</si>
  <si>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</si>
  <si>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</si>
  <si>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</si>
  <si>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</si>
  <si>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</si>
  <si>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</si>
  <si>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</si>
  <si>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</si>
  <si>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</si>
  <si>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</si>
  <si>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</si>
  <si>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</si>
  <si>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</si>
  <si>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</si>
  <si>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</si>
  <si>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</si>
  <si>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</si>
  <si>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</si>
  <si>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</si>
  <si>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</si>
  <si>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</si>
  <si>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</si>
  <si>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</si>
  <si>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</si>
  <si>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</si>
  <si>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</si>
  <si>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</si>
  <si>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</si>
  <si>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</si>
  <si>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</si>
  <si>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</si>
  <si>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</si>
  <si>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</si>
  <si>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</si>
  <si>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</si>
  <si>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</si>
  <si>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</si>
  <si>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</si>
  <si>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</si>
  <si>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</si>
  <si>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</si>
  <si>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</si>
  <si>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</si>
  <si>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</si>
  <si>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</si>
  <si>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</si>
  <si>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</si>
  <si>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</si>
  <si>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</si>
  <si>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</si>
  <si>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</si>
  <si>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</si>
  <si>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</si>
  <si>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</si>
  <si>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</si>
  <si>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</si>
  <si>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</si>
  <si>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</si>
  <si>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</si>
  <si>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</si>
  <si>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</si>
  <si>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</si>
  <si>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</si>
  <si>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</si>
  <si>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</si>
  <si>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</si>
  <si>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</si>
  <si>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</si>
  <si>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</si>
  <si>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</si>
  <si>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</si>
  <si>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</si>
  <si>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</si>
  <si>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</si>
  <si>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</si>
  <si>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</si>
  <si>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</si>
  <si>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</si>
  <si>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</si>
  <si>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</si>
  <si>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</si>
  <si>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</si>
  <si>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</si>
  <si>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</si>
  <si>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</si>
  <si>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</si>
  <si>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</si>
  <si>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</si>
  <si>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</si>
  <si>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</si>
  <si>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</si>
  <si>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</si>
  <si>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</si>
  <si>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</si>
  <si>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</si>
  <si>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</si>
  <si>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</si>
  <si>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</si>
  <si>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</si>
  <si>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</si>
  <si>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</si>
  <si>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</si>
  <si>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</si>
  <si>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</si>
  <si>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</si>
  <si>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</si>
  <si>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</si>
  <si>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</si>
  <si>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</si>
  <si>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</si>
  <si>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</si>
  <si>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</si>
  <si>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</si>
  <si>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</si>
  <si>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</si>
  <si>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</si>
  <si>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</si>
  <si>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</si>
  <si>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</si>
  <si>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</si>
  <si>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</si>
  <si>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</si>
  <si>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</si>
  <si>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</si>
  <si>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</si>
  <si>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</si>
  <si>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</si>
  <si>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</si>
  <si>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</si>
  <si>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</si>
  <si>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</si>
  <si>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</si>
  <si>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</si>
  <si>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</si>
  <si>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</si>
  <si>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</si>
  <si>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</si>
  <si>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</si>
  <si>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</si>
  <si>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</si>
  <si>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</si>
  <si>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</si>
  <si>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</si>
  <si>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</si>
  <si>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</si>
  <si>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</si>
  <si>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</si>
  <si>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</si>
  <si>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</si>
  <si>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</si>
  <si>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</si>
  <si>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</si>
  <si>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</si>
  <si>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</si>
  <si>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</si>
  <si>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</si>
  <si>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</si>
  <si>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</si>
  <si>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</si>
  <si>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</si>
  <si>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</si>
  <si>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</si>
  <si>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</si>
  <si>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</si>
  <si>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</si>
  <si>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</si>
  <si>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</si>
  <si>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</si>
  <si>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</si>
  <si>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</si>
  <si>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</si>
  <si>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</si>
  <si>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</si>
  <si>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</si>
  <si>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</si>
  <si>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</si>
  <si>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</si>
  <si>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</si>
  <si>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</si>
  <si>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</si>
  <si>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</si>
  <si>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</si>
  <si>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</si>
  <si>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</si>
  <si>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</si>
  <si>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</si>
  <si>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</si>
  <si>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</si>
  <si>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</si>
  <si>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</si>
  <si>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</si>
  <si>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</si>
  <si>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</si>
  <si>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</si>
  <si>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</si>
  <si>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</si>
  <si>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</si>
  <si>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</si>
  <si>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</si>
  <si>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</si>
  <si>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</si>
  <si>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</si>
  <si>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</si>
  <si>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</si>
  <si>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</si>
  <si>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</si>
  <si>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</si>
  <si>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</si>
  <si>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</si>
  <si>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</si>
  <si>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</si>
  <si>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</si>
  <si>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</si>
  <si>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</si>
  <si>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</si>
  <si>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</si>
  <si>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</si>
  <si>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</si>
  <si>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</si>
  <si>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</si>
  <si>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</si>
  <si>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</si>
  <si>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</si>
  <si>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</si>
  <si>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</si>
  <si>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</si>
  <si>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</si>
  <si>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</si>
  <si>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</si>
  <si>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</si>
  <si>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</si>
  <si>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</si>
  <si>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</si>
  <si>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</si>
  <si>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</si>
  <si>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</si>
  <si>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</si>
  <si>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</si>
  <si>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</si>
  <si>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</si>
  <si>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</si>
  <si>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</si>
  <si>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</si>
  <si>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</si>
  <si>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</si>
  <si>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</si>
  <si>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</si>
  <si>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</si>
  <si>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</si>
  <si>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</si>
  <si>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</si>
  <si>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</si>
  <si>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</si>
  <si>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</si>
  <si>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</si>
  <si>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</si>
  <si>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</si>
  <si>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</si>
  <si>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</si>
  <si>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</si>
  <si>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</si>
  <si>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</si>
  <si>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</si>
  <si>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</si>
  <si>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</si>
  <si>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</si>
  <si>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</si>
  <si>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</si>
  <si>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</si>
  <si>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</si>
  <si>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</si>
  <si>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</si>
  <si>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</si>
  <si>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</si>
  <si>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</si>
  <si>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</si>
  <si>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</si>
  <si>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</si>
  <si>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</si>
  <si>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</si>
  <si>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</si>
  <si>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</si>
  <si>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</si>
  <si>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</si>
  <si>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</si>
  <si>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</si>
  <si>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</si>
  <si>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</si>
  <si>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</si>
  <si>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</si>
  <si>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</si>
  <si>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</si>
  <si>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</si>
  <si>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</si>
  <si>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</si>
  <si>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</si>
  <si>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</si>
  <si>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</si>
  <si>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</si>
  <si>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</si>
  <si>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</si>
  <si>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</si>
  <si>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</si>
  <si>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</si>
  <si>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</si>
  <si>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</si>
  <si>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</si>
  <si>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</si>
  <si>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</si>
  <si>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</si>
  <si>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</si>
  <si>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</si>
  <si>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</si>
  <si>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</si>
  <si>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</si>
  <si>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</si>
  <si>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</si>
  <si>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</si>
  <si>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</si>
  <si>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</si>
  <si>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</si>
  <si>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</si>
  <si>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</si>
  <si>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</si>
  <si>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</si>
  <si>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</si>
  <si>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</si>
  <si>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</si>
  <si>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</si>
  <si>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</si>
  <si>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</si>
  <si>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</si>
  <si>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</si>
  <si>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</si>
  <si>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</si>
  <si>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</si>
  <si>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</si>
  <si>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</si>
  <si>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</si>
  <si>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</si>
  <si>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</si>
  <si>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</si>
  <si>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</si>
  <si>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</si>
  <si>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</si>
  <si>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</si>
  <si>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</si>
  <si>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</si>
  <si>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</si>
  <si>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</si>
  <si>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</si>
  <si>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</si>
  <si>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</si>
  <si>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</si>
  <si>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</si>
  <si>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</si>
  <si>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</si>
  <si>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</si>
  <si>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</si>
  <si>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</si>
  <si>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</si>
  <si>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</si>
  <si>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</si>
  <si>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</si>
  <si>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</si>
  <si>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</si>
  <si>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</si>
  <si>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</si>
  <si>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</si>
  <si>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</si>
  <si>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</si>
  <si>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</si>
  <si>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</si>
  <si>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</si>
  <si>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</si>
  <si>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</si>
  <si>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</si>
  <si>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</si>
  <si>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</si>
  <si>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</si>
  <si>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</si>
  <si>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</si>
  <si>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</si>
  <si>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</si>
  <si>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</si>
  <si>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</si>
  <si>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</si>
  <si>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</si>
  <si>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</si>
  <si>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</si>
  <si>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</si>
  <si>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</si>
  <si>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</si>
  <si>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</si>
  <si>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</si>
  <si>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</si>
  <si>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</si>
  <si>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</si>
  <si>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</si>
  <si>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</si>
  <si>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</si>
  <si>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</si>
  <si>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</si>
  <si>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</si>
  <si>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</si>
  <si>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</si>
  <si>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</si>
  <si>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</si>
  <si>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</si>
  <si>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</si>
  <si>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</si>
  <si>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</si>
  <si>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</si>
  <si>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</si>
  <si>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</si>
  <si>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</si>
  <si>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</si>
  <si>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</si>
  <si>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</si>
  <si>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</si>
  <si>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</si>
  <si>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</si>
  <si>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</si>
  <si>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</si>
  <si>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</si>
  <si>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</si>
  <si>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</si>
  <si>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</si>
  <si>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</si>
  <si>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</si>
  <si>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</si>
  <si>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</si>
  <si>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</si>
  <si>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</si>
  <si>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</si>
  <si>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</si>
  <si>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</si>
  <si>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</si>
  <si>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</si>
  <si>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</si>
  <si>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</si>
  <si>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</si>
  <si>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</si>
  <si>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</si>
  <si>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</si>
  <si>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</si>
  <si>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</si>
  <si>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</si>
  <si>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</si>
  <si>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</si>
  <si>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</si>
  <si>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</si>
  <si>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</si>
  <si>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</si>
  <si>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</si>
  <si>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</si>
  <si>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</si>
  <si>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</si>
  <si>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</si>
  <si>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</si>
  <si>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</si>
  <si>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</si>
  <si>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</si>
  <si>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</si>
  <si>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</si>
  <si>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</si>
  <si>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</si>
  <si>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</si>
  <si>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</si>
  <si>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</si>
  <si>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</si>
  <si>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</si>
  <si>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</si>
  <si>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</si>
  <si>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</si>
  <si>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</si>
  <si>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</si>
  <si>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</si>
  <si>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</si>
  <si>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</si>
  <si>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</si>
  <si>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</si>
  <si>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</si>
  <si>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</si>
  <si>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</si>
  <si>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</si>
  <si>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</si>
  <si>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</si>
  <si>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</si>
  <si>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</si>
  <si>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</si>
  <si>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</si>
  <si>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</si>
  <si>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</si>
  <si>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</si>
  <si>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</si>
  <si>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</si>
  <si>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</si>
  <si>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</si>
  <si>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</si>
  <si>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</si>
  <si>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</si>
  <si>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</si>
  <si>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</si>
  <si>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</si>
  <si>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</si>
  <si>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</si>
  <si>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</si>
  <si>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</si>
  <si>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</si>
  <si>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</si>
  <si>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</si>
  <si>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</si>
  <si>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</si>
  <si>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</si>
  <si>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</si>
  <si>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</si>
  <si>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</si>
  <si>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</si>
  <si>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</si>
  <si>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</si>
  <si>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</si>
  <si>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</si>
  <si>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</si>
  <si>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</si>
  <si>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</si>
  <si>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</si>
  <si>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</si>
  <si>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</si>
  <si>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</si>
  <si>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</si>
  <si>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</si>
  <si>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</si>
  <si>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</si>
  <si>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</si>
  <si>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</si>
  <si>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</si>
  <si>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</si>
  <si>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</si>
  <si>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</si>
  <si>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</si>
  <si>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</si>
  <si>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</si>
  <si>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</si>
  <si>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</si>
  <si>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</si>
  <si>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</si>
  <si>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</si>
  <si>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</si>
  <si>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</si>
  <si>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</si>
  <si>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</si>
  <si>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</si>
  <si>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</si>
  <si>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</si>
  <si>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</si>
  <si>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</si>
  <si>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</si>
  <si>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</si>
  <si>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</si>
  <si>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</si>
  <si>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</si>
  <si>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</si>
  <si>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</si>
  <si>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</si>
  <si>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</si>
  <si>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</si>
  <si>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</si>
  <si>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</si>
  <si>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</si>
  <si>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</si>
  <si>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</si>
  <si>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</si>
  <si>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</si>
  <si>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</si>
  <si>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</si>
  <si>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</si>
  <si>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</si>
  <si>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</si>
  <si>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</si>
  <si>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</si>
  <si>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</si>
  <si>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</si>
  <si>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</si>
  <si>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</si>
  <si>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</si>
  <si>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</si>
  <si>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</si>
  <si>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</si>
  <si>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</si>
  <si>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</si>
  <si>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</si>
  <si>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</si>
  <si>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</si>
  <si>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</si>
  <si>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</si>
  <si>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</si>
  <si>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</si>
  <si>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</si>
  <si>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</si>
  <si>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</si>
  <si>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</si>
  <si>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</si>
  <si>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</si>
  <si>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</si>
  <si>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</si>
  <si>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</si>
  <si>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</si>
  <si>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</si>
  <si>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</si>
  <si>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</si>
  <si>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</si>
  <si>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</si>
  <si>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</si>
  <si>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</si>
  <si>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</si>
  <si>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</si>
  <si>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</si>
  <si>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</si>
  <si>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</si>
  <si>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</si>
  <si>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</si>
  <si>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</si>
  <si>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</si>
  <si>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</si>
  <si>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</si>
  <si>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</si>
  <si>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</si>
  <si>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</si>
  <si>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</si>
  <si>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</si>
  <si>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</si>
  <si>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</si>
  <si>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</si>
  <si>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</si>
  <si>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</si>
  <si>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</si>
  <si>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</si>
  <si>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</si>
  <si>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</si>
  <si>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</si>
  <si>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</si>
  <si>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</si>
  <si>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</si>
  <si>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</si>
  <si>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</si>
  <si>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</si>
  <si>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</si>
  <si>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</si>
  <si>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</si>
  <si>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</si>
  <si>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</si>
  <si>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</si>
  <si>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</si>
  <si>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</si>
  <si>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</si>
  <si>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</si>
  <si>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</si>
  <si>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</si>
  <si>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</si>
  <si>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</si>
  <si>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</si>
  <si>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</si>
  <si>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</si>
  <si>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</si>
  <si>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</si>
  <si>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</si>
  <si>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</si>
  <si>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</si>
  <si>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</si>
  <si>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</si>
  <si>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</si>
  <si>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</si>
  <si>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</si>
  <si>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</si>
  <si>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</si>
  <si>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</si>
  <si>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</si>
  <si>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</si>
  <si>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</si>
  <si>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</si>
  <si>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</si>
  <si>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</si>
  <si>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</si>
  <si>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</si>
  <si>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</si>
  <si>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</si>
  <si>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</si>
  <si>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</si>
  <si>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</si>
  <si>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</si>
  <si>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</si>
  <si>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</si>
  <si>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</si>
  <si>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</si>
  <si>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</si>
  <si>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</si>
  <si>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</si>
  <si>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</si>
  <si>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</si>
  <si>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</si>
  <si>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</si>
  <si>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</si>
  <si>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</si>
  <si>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</si>
  <si>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</si>
  <si>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</si>
  <si>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</si>
  <si>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</si>
  <si>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</si>
  <si>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</si>
  <si>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</si>
  <si>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</si>
  <si>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</si>
  <si>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</si>
  <si>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</si>
  <si>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</si>
  <si>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</si>
  <si>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</si>
  <si>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</si>
  <si>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</si>
  <si>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</si>
  <si>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</si>
  <si>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</si>
  <si>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</si>
  <si>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</si>
  <si>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</si>
  <si>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</si>
  <si>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</si>
  <si>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</si>
  <si>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</si>
  <si>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</si>
  <si>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</si>
  <si>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</si>
  <si>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</si>
  <si>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</si>
  <si>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</si>
  <si>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</si>
  <si>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</si>
  <si>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</si>
  <si>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</si>
  <si>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</si>
  <si>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</si>
  <si>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</si>
  <si>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</si>
  <si>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</si>
  <si>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</si>
  <si>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</si>
  <si>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</si>
  <si>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</si>
  <si>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</si>
  <si>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</si>
  <si>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</si>
  <si>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</si>
  <si>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</si>
  <si>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</si>
  <si>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</si>
  <si>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</si>
  <si>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</si>
  <si>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</si>
  <si>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</si>
  <si>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</si>
  <si>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</si>
  <si>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</si>
  <si>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</si>
  <si>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</si>
  <si>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</si>
  <si>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</si>
  <si>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</si>
  <si>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</si>
  <si>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</si>
  <si>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</si>
  <si>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</si>
  <si>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</si>
  <si>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</si>
  <si>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</si>
  <si>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</si>
  <si>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</si>
  <si>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</si>
  <si>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</si>
  <si>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</si>
  <si>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</si>
  <si>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</si>
  <si>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</si>
  <si>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</si>
  <si>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</si>
  <si>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</si>
  <si>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</si>
  <si>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</si>
  <si>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</si>
  <si>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</si>
  <si>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</si>
  <si>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</si>
  <si>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</si>
  <si>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</si>
  <si>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</si>
  <si>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</si>
  <si>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</si>
  <si>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</si>
  <si>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</si>
  <si>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</si>
  <si>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</si>
  <si>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</si>
  <si>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</si>
  <si>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</si>
  <si>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</si>
  <si>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</si>
  <si>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</si>
  <si>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</si>
  <si>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</si>
  <si>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</si>
  <si>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</si>
  <si>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</si>
  <si>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</si>
  <si>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</si>
  <si>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</si>
  <si>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</si>
  <si>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</si>
  <si>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</si>
  <si>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</si>
  <si>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</si>
  <si>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</si>
  <si>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</si>
  <si>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</si>
  <si>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</si>
  <si>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</si>
  <si>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</si>
  <si>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</si>
  <si>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</si>
  <si>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</si>
  <si>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</si>
  <si>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</si>
  <si>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</si>
  <si>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</si>
  <si>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</si>
  <si>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</si>
  <si>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</si>
  <si>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</si>
  <si>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</si>
  <si>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</si>
  <si>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</si>
  <si>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</si>
  <si>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</si>
  <si>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</si>
  <si>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</si>
  <si>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</si>
  <si>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</si>
  <si>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</si>
  <si>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</si>
  <si>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</si>
  <si>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</si>
  <si>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</si>
  <si>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</si>
  <si>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</si>
  <si>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</si>
  <si>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</si>
  <si>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</si>
  <si>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</si>
  <si>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</si>
  <si>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</si>
  <si>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</si>
  <si>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</si>
  <si>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</si>
  <si>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</si>
  <si>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</si>
  <si>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</si>
  <si>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</si>
  <si>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</si>
  <si>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</si>
  <si>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</si>
  <si>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</si>
  <si>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</si>
  <si>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</si>
  <si>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</si>
  <si>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</si>
  <si>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</si>
  <si>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</si>
  <si>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</si>
  <si>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</si>
  <si>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</si>
  <si>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</si>
  <si>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</si>
  <si>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</si>
  <si>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</si>
  <si>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</si>
  <si>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</si>
  <si>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</si>
  <si>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</si>
  <si>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</si>
  <si>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</si>
  <si>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</si>
  <si>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</si>
  <si>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</si>
  <si>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</si>
  <si>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</si>
  <si>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</si>
  <si>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</si>
  <si>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</si>
  <si>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</si>
  <si>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</si>
  <si>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</si>
  <si>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</si>
  <si>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</si>
  <si>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</si>
  <si>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</si>
  <si>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</si>
  <si>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</si>
  <si>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</si>
  <si>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</si>
  <si>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</si>
  <si>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</si>
  <si>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</si>
  <si>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</si>
  <si>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</si>
  <si>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</si>
  <si>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</si>
  <si>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</si>
  <si>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</si>
  <si>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</si>
  <si>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</si>
  <si>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</si>
  <si>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</si>
  <si>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</si>
  <si>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</si>
  <si>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</si>
  <si>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</si>
  <si>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</si>
  <si>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</si>
  <si>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</si>
  <si>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</si>
  <si>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</si>
  <si>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</si>
  <si>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</si>
  <si>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</si>
  <si>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</si>
  <si>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</si>
  <si>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</si>
  <si>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</si>
  <si>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</si>
  <si>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</si>
  <si>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</si>
  <si>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</si>
  <si>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</si>
  <si>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</si>
  <si>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</si>
  <si>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</si>
  <si>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</si>
  <si>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</si>
  <si>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</si>
  <si>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</si>
  <si>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</si>
  <si>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</si>
  <si>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</si>
  <si>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</si>
  <si>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</si>
  <si>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</si>
  <si>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</si>
  <si>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</si>
  <si>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</si>
  <si>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</si>
  <si>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</si>
  <si>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</si>
  <si>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</si>
  <si>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</si>
  <si>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</si>
  <si>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</si>
  <si>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</si>
  <si>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</si>
  <si>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</si>
  <si>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</si>
  <si>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</si>
  <si>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</si>
  <si>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</si>
  <si>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</si>
  <si>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</si>
  <si>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</si>
  <si>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</si>
  <si>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</si>
  <si>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</si>
  <si>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</si>
  <si>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</si>
  <si>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</si>
  <si>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</si>
  <si>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</si>
  <si>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</si>
  <si>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</si>
  <si>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</si>
  <si>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</si>
  <si>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</si>
  <si>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</si>
  <si>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</si>
  <si>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</si>
  <si>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</si>
  <si>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</si>
  <si>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</si>
  <si>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</si>
  <si>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</si>
  <si>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</si>
  <si>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</si>
  <si>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</si>
  <si>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</si>
  <si>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</si>
  <si>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</si>
  <si>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</si>
  <si>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</si>
  <si>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</si>
  <si>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</si>
  <si>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</si>
  <si>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</si>
  <si>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</si>
  <si>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</si>
  <si>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</si>
  <si>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</si>
  <si>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</si>
  <si>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</si>
  <si>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</si>
  <si>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</si>
  <si>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</si>
  <si>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</si>
  <si>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</si>
  <si>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</si>
  <si>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</si>
  <si>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</si>
  <si>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</si>
  <si>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</si>
  <si>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</si>
  <si>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</si>
  <si>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</si>
  <si>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</si>
  <si>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</si>
  <si>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</si>
  <si>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</si>
  <si>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</si>
  <si>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</si>
  <si>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</si>
  <si>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</si>
  <si>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</si>
  <si>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</si>
  <si>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</si>
  <si>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</si>
  <si>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</si>
  <si>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</si>
  <si>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</si>
  <si>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</si>
  <si>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</si>
  <si>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</si>
  <si>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</si>
  <si>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</si>
  <si>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</si>
  <si>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</si>
  <si>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</si>
  <si>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</si>
  <si>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</si>
  <si>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</si>
  <si>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</si>
  <si>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</si>
  <si>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</si>
  <si>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</si>
  <si>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</si>
  <si>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</si>
  <si>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</si>
  <si>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</si>
  <si>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</si>
  <si>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</si>
  <si>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</si>
  <si>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</si>
  <si>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</si>
  <si>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</si>
  <si>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</si>
  <si>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</si>
  <si>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</si>
  <si>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</si>
  <si>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</si>
  <si>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</si>
  <si>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</si>
  <si>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</si>
  <si>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</si>
  <si>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</si>
  <si>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</si>
  <si>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</si>
  <si>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</si>
  <si>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</si>
  <si>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</si>
  <si>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</si>
  <si>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</si>
  <si>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</si>
  <si>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</si>
  <si>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</si>
  <si>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</si>
  <si>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</si>
  <si>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</si>
  <si>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</si>
  <si>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</si>
  <si>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</si>
  <si>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</si>
  <si>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</si>
  <si>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</si>
  <si>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</si>
  <si>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</si>
  <si>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</si>
  <si>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</si>
  <si>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</si>
  <si>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</si>
  <si>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</si>
  <si>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</si>
  <si>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</si>
  <si>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</si>
  <si>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</si>
  <si>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</si>
  <si>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</si>
  <si>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</si>
  <si>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</si>
  <si>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</si>
  <si>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</si>
  <si>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</si>
  <si>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</si>
  <si>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</si>
  <si>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</si>
  <si>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</si>
  <si>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</si>
  <si>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</si>
  <si>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</si>
  <si>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</si>
  <si>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</si>
  <si>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</si>
  <si>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</si>
  <si>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</si>
  <si>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</si>
  <si>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</si>
  <si>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</si>
  <si>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</si>
  <si>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</si>
  <si>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</si>
  <si>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</si>
  <si>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</si>
  <si>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</si>
  <si>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</si>
  <si>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</si>
  <si>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</si>
  <si>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</si>
  <si>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</si>
  <si>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</si>
  <si>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</si>
  <si>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</si>
  <si>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</si>
  <si>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</si>
  <si>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</si>
  <si>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</si>
  <si>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</si>
  <si>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</si>
  <si>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</si>
  <si>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</si>
  <si>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</si>
  <si>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</si>
  <si>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</si>
  <si>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</si>
  <si>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</si>
  <si>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</si>
  <si>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</si>
  <si>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</si>
  <si>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</si>
  <si>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</si>
  <si>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</si>
  <si>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</si>
  <si>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</si>
  <si>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</si>
  <si>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</si>
  <si>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</si>
  <si>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</si>
  <si>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</si>
  <si>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</si>
  <si>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</si>
  <si>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</si>
  <si>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</si>
  <si>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</si>
  <si>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</si>
  <si>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</si>
  <si>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</si>
  <si>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</si>
  <si>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</si>
  <si>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</si>
  <si>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</si>
  <si>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</si>
  <si>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</si>
  <si>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</si>
  <si>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</si>
  <si>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</si>
  <si>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</si>
  <si>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</si>
  <si>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</si>
  <si>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</si>
  <si>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</si>
  <si>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</si>
  <si>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</si>
  <si>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</si>
  <si>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</si>
  <si>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</si>
  <si>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</si>
  <si>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</si>
  <si>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</si>
  <si>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</si>
  <si>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</si>
  <si>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</si>
  <si>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</si>
  <si>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</si>
  <si>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</si>
  <si>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</si>
  <si>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</si>
  <si>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</si>
  <si>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</si>
  <si>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</si>
  <si>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</si>
  <si>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</si>
  <si>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</si>
  <si>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</si>
  <si>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</si>
  <si>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</si>
  <si>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</si>
  <si>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</si>
  <si>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</si>
  <si>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</si>
  <si>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</si>
  <si>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</si>
  <si>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</si>
  <si>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</si>
  <si>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</si>
  <si>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</si>
  <si>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</si>
  <si>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</si>
  <si>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</si>
  <si>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</si>
  <si>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</si>
  <si>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</si>
  <si>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</si>
  <si>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</si>
  <si>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</si>
  <si>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</si>
  <si>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</si>
  <si>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</si>
  <si>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</si>
  <si>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</si>
  <si>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</si>
  <si>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</si>
  <si>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</si>
  <si>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</si>
  <si>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</si>
  <si>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</si>
  <si>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</si>
  <si>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</si>
  <si>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</si>
  <si>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</si>
  <si>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</si>
  <si>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</si>
  <si>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</si>
  <si>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</si>
  <si>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</si>
  <si>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</si>
  <si>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</si>
  <si>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</si>
  <si>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</si>
  <si>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</si>
  <si>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</si>
  <si>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</si>
  <si>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</si>
  <si>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</si>
  <si>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</si>
  <si>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</si>
  <si>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</si>
  <si>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</si>
  <si>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</si>
  <si>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</si>
  <si>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</si>
  <si>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</si>
  <si>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</si>
  <si>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</si>
  <si>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</si>
  <si>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</si>
  <si>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</si>
  <si>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</si>
  <si>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</si>
  <si>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</si>
  <si>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</si>
  <si>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</si>
  <si>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</si>
  <si>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</si>
  <si>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</si>
  <si>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</si>
  <si>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</si>
  <si>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</si>
  <si>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</si>
  <si>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</si>
  <si>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</si>
  <si>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</si>
  <si>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</si>
  <si>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</si>
  <si>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</si>
  <si>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</si>
  <si>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</si>
  <si>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</si>
  <si>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</si>
  <si>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</si>
  <si>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</si>
  <si>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</si>
  <si>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</si>
  <si>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</si>
  <si>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</si>
  <si>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</si>
  <si>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</si>
  <si>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</si>
  <si>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</si>
  <si>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</si>
  <si>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</si>
  <si>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</si>
  <si>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</si>
  <si>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</si>
  <si>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</si>
  <si>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</si>
  <si>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</si>
  <si>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</si>
  <si>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</si>
  <si>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</si>
  <si>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</si>
  <si>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</si>
  <si>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</si>
  <si>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</si>
  <si>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</si>
  <si>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</si>
  <si>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</si>
  <si>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</si>
  <si>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</si>
  <si>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</si>
  <si>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</si>
  <si>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</si>
  <si>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</si>
  <si>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</si>
  <si>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</si>
  <si>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</si>
  <si>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</si>
  <si>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</si>
  <si>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</si>
  <si>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</si>
  <si>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</si>
  <si>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</si>
  <si>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</si>
  <si>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</si>
  <si>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</si>
  <si>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</si>
  <si>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</si>
  <si>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</si>
  <si>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</si>
  <si>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</si>
  <si>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</si>
  <si>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</si>
  <si>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</si>
  <si>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</si>
  <si>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</si>
  <si>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</si>
  <si>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</si>
  <si>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</si>
  <si>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</si>
  <si>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</si>
  <si>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</si>
  <si>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</si>
  <si>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</si>
  <si>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</si>
  <si>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</si>
  <si>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</si>
  <si>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</si>
  <si>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</si>
  <si>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</si>
  <si>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</si>
  <si>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</si>
  <si>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</si>
  <si>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</si>
  <si>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</si>
  <si>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</si>
  <si>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</si>
  <si>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</si>
  <si>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</si>
  <si>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</si>
  <si>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</si>
  <si>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</si>
  <si>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</si>
  <si>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</si>
  <si>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</si>
  <si>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</si>
  <si>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</si>
  <si>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</si>
  <si>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</si>
  <si>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</si>
  <si>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</si>
  <si>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</si>
  <si>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</si>
  <si>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</si>
  <si>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</si>
  <si>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</si>
  <si>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</si>
  <si>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</si>
  <si>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</si>
  <si>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</si>
  <si>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</si>
  <si>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</si>
  <si>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</si>
  <si>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</si>
  <si>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</si>
  <si>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</si>
  <si>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</si>
  <si>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</si>
  <si>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</si>
  <si>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</si>
  <si>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</si>
  <si>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</si>
  <si>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</si>
  <si>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</si>
  <si>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</si>
  <si>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</si>
  <si>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</si>
  <si>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</si>
  <si>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</si>
  <si>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</si>
  <si>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</si>
  <si>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</si>
  <si>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</si>
  <si>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</si>
  <si>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</si>
  <si>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</si>
  <si>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</si>
  <si>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</si>
  <si>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</si>
  <si>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</si>
  <si>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</si>
  <si>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</si>
  <si>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</si>
  <si>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</si>
  <si>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</si>
  <si>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</si>
  <si>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</si>
  <si>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</si>
  <si>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</si>
  <si>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</si>
  <si>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</si>
  <si>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</si>
  <si>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</si>
  <si>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</si>
  <si>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</si>
  <si>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</si>
  <si>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</si>
  <si>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</si>
  <si>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</si>
  <si>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</si>
  <si>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</si>
  <si>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</si>
  <si>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</si>
  <si>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</si>
  <si>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</si>
  <si>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</si>
  <si>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</si>
  <si>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</si>
  <si>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</si>
  <si>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</si>
  <si>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</si>
  <si>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</si>
  <si>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</si>
  <si>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</si>
  <si>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</si>
  <si>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</si>
  <si>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</si>
  <si>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</si>
  <si>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</si>
  <si>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</si>
  <si>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</si>
  <si>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</si>
  <si>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</si>
  <si>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</si>
  <si>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</si>
  <si>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</si>
  <si>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</si>
  <si>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</si>
  <si>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</si>
  <si>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</si>
  <si>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</si>
  <si>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</si>
  <si>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</si>
  <si>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</si>
  <si>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</si>
  <si>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</si>
  <si>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</si>
  <si>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</si>
  <si>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</si>
  <si>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</si>
  <si>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</si>
  <si>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</si>
  <si>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</si>
  <si>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</si>
  <si>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</si>
  <si>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</si>
  <si>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</si>
  <si>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</si>
  <si>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</si>
  <si>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</si>
  <si>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</si>
  <si>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</si>
  <si>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</si>
  <si>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</si>
  <si>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</si>
  <si>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</si>
  <si>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</si>
  <si>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</si>
  <si>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</si>
  <si>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</si>
  <si>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</si>
  <si>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</si>
  <si>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</si>
  <si>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</si>
  <si>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</si>
  <si>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</si>
  <si>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</si>
  <si>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</si>
  <si>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</si>
  <si>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</si>
  <si>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</si>
  <si>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</si>
  <si>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</si>
  <si>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</si>
  <si>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</si>
  <si>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</si>
  <si>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</si>
  <si>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</si>
  <si>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</si>
  <si>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</si>
  <si>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</si>
  <si>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</si>
  <si>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</si>
  <si>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</si>
  <si>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</si>
  <si>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</si>
  <si>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</si>
  <si>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</si>
  <si>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</si>
  <si>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</si>
  <si>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</si>
  <si>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</si>
  <si>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</si>
  <si>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</si>
  <si>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</si>
  <si>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</si>
  <si>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</si>
  <si>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</si>
  <si>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</si>
  <si>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</si>
  <si>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</si>
  <si>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</si>
  <si>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</si>
  <si>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</si>
  <si>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</si>
  <si>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</si>
  <si>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</si>
  <si>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</si>
  <si>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</si>
  <si>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</si>
  <si>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</si>
  <si>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</si>
  <si>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</si>
  <si>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</si>
  <si>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</si>
  <si>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</si>
  <si>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</si>
  <si>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</si>
  <si>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</si>
  <si>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</si>
  <si>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</si>
  <si>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</si>
  <si>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</si>
  <si>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</si>
  <si>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</si>
  <si>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</si>
  <si>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</si>
  <si>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</si>
  <si>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</si>
  <si>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</si>
  <si>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</si>
  <si>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</si>
  <si>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</si>
  <si>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</si>
  <si>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</si>
  <si>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</si>
  <si>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</si>
  <si>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</si>
  <si>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</si>
  <si>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</si>
  <si>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</si>
  <si>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</si>
  <si>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</si>
  <si>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</si>
  <si>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</si>
  <si>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</si>
  <si>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</si>
  <si>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</si>
  <si>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</si>
  <si>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</si>
  <si>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</si>
  <si>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</si>
  <si>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</si>
  <si>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</si>
  <si>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</si>
  <si>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</si>
  <si>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</si>
  <si>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</si>
  <si>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</si>
  <si>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</si>
  <si>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</si>
  <si>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</si>
  <si>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</si>
  <si>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</si>
  <si>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</si>
  <si>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</si>
  <si>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</si>
  <si>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</si>
  <si>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</si>
  <si>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</si>
  <si>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</si>
  <si>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</si>
  <si>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</si>
  <si>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</si>
  <si>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</si>
  <si>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</si>
  <si>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</si>
  <si>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</si>
  <si>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</si>
  <si>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</si>
  <si>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</si>
  <si>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</si>
  <si>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</si>
  <si>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</si>
  <si>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</si>
  <si>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</si>
  <si>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</si>
  <si>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</si>
  <si>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</si>
  <si>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</si>
  <si>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</si>
  <si>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</si>
  <si>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</si>
  <si>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</si>
  <si>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</si>
  <si>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</si>
  <si>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</si>
  <si>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</si>
  <si>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</si>
  <si>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</si>
  <si>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</si>
  <si>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</si>
  <si>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</si>
  <si>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</si>
  <si>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</si>
  <si>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</si>
  <si>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</si>
  <si>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</si>
  <si>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</si>
  <si>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</si>
  <si>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</si>
  <si>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</si>
  <si>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</si>
  <si>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</si>
  <si>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</si>
  <si>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</si>
  <si>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</si>
  <si>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</si>
  <si>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</si>
  <si>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</si>
  <si>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</si>
  <si>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</si>
  <si>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</si>
  <si>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</si>
  <si>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</si>
  <si>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</si>
  <si>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</si>
  <si>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</si>
  <si>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</si>
  <si>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</si>
  <si>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</si>
  <si>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</si>
  <si>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</si>
  <si>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</si>
  <si>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</si>
  <si>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</si>
  <si>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</si>
  <si>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</si>
  <si>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</si>
  <si>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</si>
  <si>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</si>
  <si>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</si>
  <si>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</si>
  <si>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</si>
  <si>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</si>
  <si>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</si>
  <si>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</si>
  <si>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</si>
  <si>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</si>
  <si>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</si>
  <si>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</si>
  <si>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</si>
  <si>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</si>
  <si>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</si>
  <si>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</si>
  <si>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</si>
  <si>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</si>
  <si>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</si>
  <si>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</si>
  <si>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</si>
  <si>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</si>
  <si>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</si>
  <si>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</si>
  <si>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</si>
  <si>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</si>
  <si>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</si>
  <si>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</si>
  <si>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</si>
  <si>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</si>
  <si>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</si>
  <si>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</si>
  <si>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</si>
  <si>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</si>
  <si>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</si>
  <si>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</si>
  <si>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</si>
  <si>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</si>
  <si>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</si>
  <si>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</si>
  <si>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</si>
  <si>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</si>
  <si>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</si>
  <si>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</si>
  <si>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</si>
  <si>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</si>
  <si>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</si>
  <si>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</si>
  <si>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</si>
  <si>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</si>
  <si>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</si>
  <si>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</si>
  <si>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</si>
  <si>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</si>
  <si>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</si>
  <si>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</si>
  <si>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</si>
  <si>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</si>
  <si>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</si>
  <si>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</si>
  <si>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</si>
  <si>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</si>
  <si>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</si>
  <si>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</si>
  <si>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</si>
  <si>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</si>
  <si>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</si>
  <si>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</si>
  <si>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</si>
  <si>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</si>
  <si>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</si>
  <si>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</si>
  <si>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</si>
  <si>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</si>
  <si>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</si>
  <si>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</si>
  <si>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</si>
  <si>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</si>
  <si>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</si>
  <si>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</si>
  <si>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</si>
  <si>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</si>
  <si>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</si>
  <si>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</si>
  <si>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</si>
  <si>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</si>
  <si>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</si>
  <si>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</si>
  <si>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</si>
  <si>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</si>
  <si>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</si>
  <si>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</si>
  <si>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</si>
  <si>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</si>
  <si>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</si>
  <si>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</si>
  <si>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</si>
  <si>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</si>
  <si>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</si>
  <si>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</si>
  <si>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</si>
  <si>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</si>
  <si>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</si>
  <si>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</si>
  <si>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</si>
  <si>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</si>
  <si>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</si>
  <si>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</si>
  <si>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</si>
  <si>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</si>
  <si>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</si>
  <si>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</si>
  <si>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</si>
  <si>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</si>
  <si>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</si>
  <si>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</si>
  <si>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</si>
  <si>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</si>
  <si>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</si>
  <si>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</si>
  <si>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</si>
  <si>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</si>
  <si>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</si>
  <si>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</si>
  <si>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</si>
  <si>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</si>
  <si>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</si>
  <si>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</si>
  <si>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</si>
  <si>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</si>
  <si>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</si>
  <si>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</si>
  <si>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</si>
  <si>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</si>
  <si>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</si>
  <si>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</si>
  <si>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</si>
  <si>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</si>
  <si>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</si>
  <si>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</si>
  <si>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</si>
  <si>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</si>
  <si>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</si>
  <si>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</si>
  <si>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</si>
  <si>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</si>
  <si>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</si>
  <si>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</si>
  <si>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</si>
  <si>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</si>
  <si>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</si>
  <si>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</si>
  <si>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</si>
  <si>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</si>
  <si>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</si>
  <si>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</si>
  <si>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</si>
  <si>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</si>
  <si>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</si>
  <si>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</si>
  <si>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</si>
  <si>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</si>
  <si>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</si>
  <si>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</si>
  <si>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</si>
  <si>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</si>
  <si>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</si>
  <si>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</si>
  <si>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</si>
  <si>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</si>
  <si>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</si>
  <si>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</si>
  <si>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</si>
  <si>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</si>
  <si>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</si>
  <si>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</si>
  <si>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</si>
  <si>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</si>
  <si>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</si>
  <si>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</si>
  <si>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</si>
  <si>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</si>
  <si>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</si>
  <si>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</si>
  <si>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</si>
  <si>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</si>
  <si>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</si>
  <si>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</si>
  <si>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</si>
  <si>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</si>
  <si>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</si>
  <si>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</si>
  <si>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</si>
  <si>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</si>
  <si>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</si>
  <si>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</si>
  <si>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</si>
  <si>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</si>
  <si>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</si>
  <si>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</si>
  <si>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</si>
  <si>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</si>
  <si>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</si>
  <si>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</si>
  <si>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</si>
  <si>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</si>
  <si>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</si>
  <si>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</si>
  <si>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</si>
  <si>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</si>
  <si>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</si>
  <si>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</si>
  <si>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</si>
  <si>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</si>
  <si>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</si>
  <si>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</si>
  <si>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</si>
  <si>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</si>
  <si>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</si>
  <si>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</si>
  <si>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</si>
  <si>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</si>
  <si>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</si>
  <si>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</si>
  <si>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</si>
  <si>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</si>
  <si>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</si>
  <si>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</si>
  <si>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</si>
  <si>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</si>
  <si>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</si>
  <si>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</si>
  <si>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</si>
  <si>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</si>
  <si>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</si>
  <si>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</si>
  <si>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</si>
  <si>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</si>
  <si>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</si>
  <si>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</si>
  <si>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</si>
  <si>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</si>
  <si>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</si>
  <si>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</si>
  <si>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</si>
  <si>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</si>
  <si>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</si>
  <si>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</si>
  <si>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</si>
  <si>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</si>
  <si>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</si>
  <si>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</si>
  <si>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</si>
  <si>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</si>
  <si>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</si>
  <si>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</si>
  <si>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</si>
  <si>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</si>
  <si>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</si>
  <si>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</si>
  <si>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</si>
  <si>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</si>
  <si>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</si>
  <si>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</si>
  <si>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</si>
  <si>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</si>
  <si>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</si>
  <si>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</si>
  <si>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</si>
  <si>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</si>
  <si>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</si>
  <si>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</si>
  <si>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</si>
  <si>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</si>
  <si>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</si>
  <si>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</si>
  <si>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</si>
  <si>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</si>
  <si>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</si>
  <si>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</si>
  <si>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</si>
  <si>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</si>
  <si>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</si>
  <si>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</si>
  <si>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</si>
  <si>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</si>
  <si>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</si>
  <si>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</si>
  <si>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</si>
  <si>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</si>
  <si>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</si>
  <si>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</si>
  <si>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</si>
  <si>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</si>
  <si>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</si>
  <si>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</si>
  <si>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</si>
  <si>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</si>
  <si>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</si>
  <si>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</si>
  <si>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</si>
  <si>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</si>
  <si>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</si>
  <si>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</si>
  <si>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</si>
  <si>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</si>
  <si>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</si>
  <si>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</si>
  <si>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</si>
  <si>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</si>
  <si>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</si>
  <si>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</si>
  <si>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</si>
  <si>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</si>
  <si>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</si>
  <si>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</si>
  <si>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</si>
  <si>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</si>
  <si>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</si>
  <si>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</si>
  <si>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</si>
  <si>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</si>
  <si>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</si>
  <si>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</si>
  <si>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</si>
  <si>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</si>
  <si>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</si>
  <si>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</si>
  <si>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</si>
  <si>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</si>
  <si>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</si>
  <si>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</si>
  <si>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</si>
  <si>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</si>
  <si>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</si>
  <si>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</si>
  <si>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</si>
  <si>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</si>
  <si>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</si>
  <si>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</si>
  <si>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</si>
  <si>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</si>
  <si>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</si>
  <si>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</si>
  <si>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</si>
  <si>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</si>
  <si>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</si>
  <si>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</si>
  <si>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</si>
  <si>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</si>
  <si>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</si>
  <si>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</si>
  <si>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</si>
  <si>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</si>
  <si>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</si>
  <si>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</si>
  <si>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</si>
  <si>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</si>
  <si>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</si>
  <si>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</si>
  <si>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</si>
  <si>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</si>
  <si>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</si>
  <si>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</si>
  <si>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</si>
  <si>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</si>
  <si>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</si>
  <si>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</si>
  <si>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</si>
  <si>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</si>
  <si>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</si>
  <si>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</si>
  <si>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</si>
  <si>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</si>
  <si>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</si>
  <si>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</si>
  <si>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</si>
  <si>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</si>
  <si>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</si>
  <si>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</si>
  <si>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</si>
  <si>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</si>
  <si>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</si>
  <si>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</si>
  <si>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</si>
  <si>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</si>
  <si>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</si>
  <si>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</si>
  <si>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</si>
  <si>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</si>
  <si>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</si>
  <si>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</si>
  <si>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</si>
  <si>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</si>
  <si>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</si>
  <si>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</si>
  <si>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</si>
  <si>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</si>
  <si>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</si>
  <si>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</si>
  <si>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</si>
  <si>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</si>
  <si>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</si>
  <si>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</si>
  <si>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</si>
  <si>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</si>
  <si>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</si>
  <si>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</si>
  <si>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</si>
  <si>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</si>
  <si>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</si>
  <si>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</si>
  <si>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</si>
  <si>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</si>
  <si>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</si>
  <si>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</si>
  <si>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</si>
  <si>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</si>
  <si>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</si>
  <si>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</si>
  <si>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</si>
  <si>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</si>
  <si>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</si>
  <si>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</si>
  <si>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</si>
  <si>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</si>
  <si>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</si>
  <si>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</si>
  <si>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</si>
  <si>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</si>
  <si>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</si>
  <si>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</si>
  <si>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</si>
  <si>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</si>
  <si>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</si>
  <si>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</si>
  <si>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</si>
  <si>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</si>
  <si>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</si>
  <si>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</si>
  <si>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</si>
  <si>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</si>
  <si>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</si>
  <si>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</si>
  <si>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</si>
  <si>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</si>
  <si>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</si>
  <si>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</si>
  <si>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</si>
  <si>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</si>
  <si>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</si>
  <si>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</si>
  <si>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</si>
  <si>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</si>
  <si>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</si>
  <si>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</si>
  <si>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</si>
  <si>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</si>
  <si>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</si>
  <si>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</si>
  <si>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</si>
  <si>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</si>
  <si>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</si>
  <si>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</si>
  <si>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</si>
  <si>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</si>
  <si>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</si>
  <si>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</si>
  <si>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</si>
  <si>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</si>
  <si>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</si>
  <si>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</si>
  <si>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</si>
  <si>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</si>
  <si>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</si>
  <si>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</si>
  <si>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</si>
  <si>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</si>
  <si>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</si>
  <si>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</si>
  <si>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</si>
  <si>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</si>
  <si>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</si>
  <si>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</si>
  <si>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</si>
  <si>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</si>
  <si>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</si>
  <si>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</si>
  <si>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</si>
  <si>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</si>
  <si>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</si>
  <si>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</si>
  <si>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</si>
  <si>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</si>
  <si>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</si>
  <si>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</si>
  <si>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</si>
  <si>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</si>
  <si>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</si>
  <si>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</si>
  <si>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</si>
  <si>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</si>
  <si>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</si>
  <si>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</si>
  <si>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</si>
  <si>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</si>
  <si>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</si>
  <si>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</si>
  <si>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</si>
  <si>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</si>
  <si>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</si>
  <si>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</si>
  <si>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</si>
  <si>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</si>
  <si>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</si>
  <si>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</si>
  <si>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</si>
  <si>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</si>
  <si>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</si>
  <si>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</si>
  <si>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</si>
  <si>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</si>
  <si>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</si>
  <si>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</si>
  <si>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</si>
  <si>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</si>
  <si>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</si>
  <si>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</si>
  <si>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</si>
  <si>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</si>
  <si>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</si>
  <si>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</si>
  <si>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</si>
  <si>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</si>
  <si>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</si>
  <si>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</si>
  <si>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</si>
  <si>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</si>
  <si>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</si>
  <si>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</si>
  <si>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</si>
  <si>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</si>
  <si>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</si>
  <si>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</si>
  <si>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</si>
  <si>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</si>
  <si>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</si>
  <si>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</si>
  <si>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</si>
  <si>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</si>
  <si>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</si>
  <si>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</si>
  <si>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</si>
  <si>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</si>
  <si>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</si>
  <si>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</si>
  <si>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</si>
  <si>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</si>
  <si>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</si>
  <si>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</si>
  <si>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</si>
  <si>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</si>
  <si>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</si>
  <si>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</si>
  <si>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</si>
  <si>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</si>
  <si>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</si>
  <si>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</si>
  <si>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</si>
  <si>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</si>
  <si>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</si>
  <si>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</si>
  <si>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</si>
  <si>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</si>
  <si>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</si>
  <si>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</si>
  <si>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</si>
  <si>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</si>
  <si>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</si>
  <si>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</si>
  <si>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</si>
  <si>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</si>
  <si>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</si>
  <si>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</si>
  <si>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</si>
  <si>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</si>
  <si>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</si>
  <si>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</si>
  <si>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</si>
  <si>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</si>
  <si>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</si>
  <si>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</si>
  <si>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</si>
  <si>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</si>
  <si>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</si>
  <si>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</si>
  <si>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</si>
  <si>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</si>
  <si>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</si>
  <si>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</si>
  <si>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</si>
  <si>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</si>
  <si>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</si>
  <si>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</si>
  <si>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</si>
  <si>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</si>
  <si>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</si>
  <si>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</si>
  <si>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</si>
  <si>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</si>
  <si>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</si>
  <si>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</si>
  <si>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</si>
  <si>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</si>
  <si>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</si>
  <si>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</si>
  <si>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</si>
  <si>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</si>
  <si>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</si>
  <si>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</si>
  <si>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</si>
  <si>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</si>
  <si>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</si>
  <si>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</si>
  <si>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</si>
  <si>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</si>
  <si>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</si>
  <si>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</si>
  <si>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</si>
  <si>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</si>
  <si>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</si>
  <si>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</si>
  <si>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</si>
  <si>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</si>
  <si>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</si>
  <si>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</si>
  <si>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</si>
  <si>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</si>
  <si>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</si>
  <si>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</si>
  <si>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</si>
  <si>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</si>
  <si>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</si>
  <si>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</si>
  <si>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</si>
  <si>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</si>
  <si>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</si>
  <si>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</si>
  <si>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</si>
  <si>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</si>
  <si>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</si>
  <si>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</si>
  <si>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</si>
  <si>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</si>
  <si>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</si>
  <si>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</si>
  <si>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</si>
  <si>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</si>
  <si>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</si>
  <si>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</si>
  <si>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</si>
  <si>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</si>
  <si>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</si>
  <si>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</si>
  <si>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</si>
  <si>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</si>
  <si>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</si>
  <si>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</si>
  <si>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</si>
  <si>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</si>
  <si>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</si>
  <si>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</si>
  <si>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</si>
  <si>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</si>
  <si>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</si>
  <si>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</si>
  <si>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</si>
  <si>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</si>
  <si>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</si>
  <si>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</si>
  <si>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</si>
  <si>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</si>
  <si>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</si>
  <si>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</si>
  <si>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</si>
  <si>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</si>
  <si>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</si>
  <si>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</si>
  <si>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</si>
  <si>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</si>
  <si>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</si>
  <si>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</si>
  <si>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</si>
  <si>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</si>
  <si>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</si>
  <si>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</si>
  <si>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</si>
  <si>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</si>
  <si>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</si>
  <si>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</si>
  <si>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</si>
  <si>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</si>
  <si>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</si>
  <si>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</si>
  <si>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</si>
  <si>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</si>
  <si>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</si>
  <si>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</si>
  <si>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</si>
  <si>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</si>
  <si>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</si>
  <si>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</si>
  <si>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</si>
  <si>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</si>
  <si>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</si>
  <si>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</si>
  <si>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</si>
  <si>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</si>
  <si>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</si>
  <si>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</si>
  <si>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</si>
  <si>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</si>
  <si>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</si>
  <si>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</si>
  <si>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</si>
  <si>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</si>
  <si>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</si>
  <si>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</si>
  <si>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</si>
  <si>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</si>
  <si>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</si>
  <si>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</si>
  <si>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</si>
  <si>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</si>
  <si>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</si>
  <si>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</si>
  <si>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</si>
  <si>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</si>
  <si>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</si>
  <si>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</si>
  <si>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</si>
  <si>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</si>
  <si>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</si>
  <si>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</si>
  <si>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</si>
  <si>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</si>
  <si>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</si>
  <si>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</si>
  <si>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</si>
  <si>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</si>
  <si>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</si>
  <si>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</si>
  <si>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</si>
  <si>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</si>
  <si>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</si>
  <si>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</si>
  <si>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</si>
  <si>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</si>
  <si>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</si>
  <si>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</si>
  <si>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</si>
  <si>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</si>
  <si>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</si>
  <si>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</si>
  <si>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</si>
  <si>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</si>
  <si>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</si>
  <si>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</si>
  <si>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</si>
  <si>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</si>
  <si>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</si>
  <si>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</si>
  <si>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</si>
  <si>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</si>
  <si>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</si>
  <si>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</si>
  <si>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</si>
  <si>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</si>
  <si>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</si>
  <si>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</si>
  <si>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</si>
  <si>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</si>
  <si>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</si>
  <si>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</si>
  <si>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</si>
  <si>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</si>
  <si>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</si>
  <si>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</si>
  <si>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</si>
  <si>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</si>
  <si>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</si>
  <si>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</si>
  <si>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</si>
  <si>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</si>
  <si>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</si>
  <si>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</si>
  <si>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</si>
  <si>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</si>
  <si>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</si>
  <si>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</si>
  <si>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</si>
  <si>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</si>
  <si>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</si>
  <si>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</si>
  <si>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</si>
  <si>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</si>
  <si>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</si>
  <si>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</si>
  <si>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</si>
  <si>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</si>
  <si>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</si>
  <si>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</si>
  <si>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</si>
  <si>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</si>
  <si>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</si>
  <si>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</si>
  <si>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</si>
  <si>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</si>
  <si>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</si>
  <si>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</si>
  <si>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</si>
  <si>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</si>
  <si>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</si>
  <si>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</si>
  <si>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</si>
  <si>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</si>
  <si>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</si>
  <si>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</si>
  <si>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</si>
  <si>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</si>
  <si>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</si>
  <si>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</si>
  <si>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</si>
  <si>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</si>
  <si>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</si>
  <si>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</si>
  <si>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</si>
  <si>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</si>
  <si>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</si>
  <si>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</si>
  <si>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</si>
  <si>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</si>
  <si>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</si>
  <si>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</si>
  <si>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</si>
  <si>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</si>
  <si>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</si>
  <si>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</si>
  <si>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</si>
  <si>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</si>
  <si>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</si>
  <si>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</si>
  <si>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</si>
  <si>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</si>
  <si>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</si>
  <si>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</si>
  <si>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</si>
  <si>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</si>
  <si>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</si>
  <si>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</si>
  <si>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</si>
  <si>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</si>
  <si>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</si>
  <si>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</si>
  <si>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</si>
  <si>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</si>
  <si>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</si>
  <si>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</si>
  <si>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</si>
  <si>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</si>
  <si>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</si>
  <si>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</si>
  <si>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</si>
  <si>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</si>
  <si>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</si>
  <si>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</si>
  <si>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</si>
  <si>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</si>
  <si>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</si>
  <si>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</si>
  <si>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</si>
  <si>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</si>
  <si>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</si>
  <si>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</si>
  <si>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</si>
  <si>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</si>
  <si>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</si>
  <si>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</si>
  <si>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</si>
  <si>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</si>
  <si>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</si>
  <si>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</si>
  <si>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</si>
  <si>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</si>
  <si>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</si>
  <si>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</si>
  <si>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</si>
  <si>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</si>
  <si>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</si>
  <si>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</si>
  <si>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</si>
  <si>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</si>
  <si>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</si>
  <si>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</si>
  <si>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</si>
  <si>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</si>
  <si>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</si>
  <si>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</si>
  <si>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</si>
  <si>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</si>
  <si>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</si>
  <si>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</si>
  <si>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</si>
  <si>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</si>
  <si>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</si>
  <si>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</si>
  <si>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</si>
  <si>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</si>
  <si>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</si>
  <si>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</si>
  <si>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</si>
  <si>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</si>
  <si>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</si>
  <si>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</si>
  <si>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</si>
  <si>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</si>
  <si>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</si>
  <si>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</si>
  <si>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</si>
  <si>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</si>
  <si>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</si>
  <si>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</si>
  <si>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</si>
  <si>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</si>
  <si>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</si>
  <si>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</si>
  <si>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</si>
  <si>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</si>
  <si>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</si>
  <si>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</si>
  <si>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</si>
  <si>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</si>
  <si>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</si>
  <si>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</si>
  <si>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</si>
  <si>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</si>
  <si>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</si>
  <si>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</si>
  <si>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</si>
  <si>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</si>
  <si>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</si>
  <si>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</si>
  <si>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</si>
  <si>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</si>
  <si>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</si>
  <si>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</si>
  <si>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</si>
  <si>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</si>
  <si>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</si>
  <si>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</si>
  <si>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</si>
  <si>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</si>
  <si>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</si>
  <si>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</si>
  <si>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</si>
  <si>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</si>
  <si>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</si>
  <si>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</si>
  <si>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</si>
  <si>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</si>
  <si>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</si>
  <si>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</si>
  <si>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</si>
  <si>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</si>
  <si>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</si>
  <si>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</si>
  <si>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</si>
  <si>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</si>
  <si>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</si>
  <si>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</si>
  <si>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</si>
  <si>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</si>
  <si>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</si>
  <si>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</si>
  <si>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</si>
  <si>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</si>
  <si>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</si>
  <si>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</si>
  <si>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</si>
  <si>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</si>
  <si>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</si>
  <si>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</si>
  <si>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</si>
  <si>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</si>
  <si>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</si>
  <si>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</si>
  <si>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</si>
  <si>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</si>
  <si>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</si>
  <si>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</si>
  <si>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</si>
  <si>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</si>
  <si>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</si>
  <si>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</si>
  <si>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</si>
  <si>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</si>
  <si>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</si>
  <si>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</si>
  <si>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</si>
  <si>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</si>
  <si>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</si>
  <si>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</si>
  <si>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</si>
  <si>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</si>
  <si>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</si>
  <si>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</si>
  <si>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</si>
  <si>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</si>
  <si>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</si>
  <si>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</si>
  <si>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</si>
  <si>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</si>
  <si>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</si>
  <si>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</si>
  <si>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</si>
  <si>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</si>
  <si>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</si>
  <si>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</si>
  <si>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</si>
  <si>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</si>
  <si>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</si>
  <si>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</si>
  <si>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</si>
  <si>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</si>
  <si>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</si>
  <si>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</si>
  <si>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</si>
  <si>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</si>
  <si>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</si>
  <si>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</si>
  <si>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</si>
  <si>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</si>
  <si>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</si>
  <si>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</si>
  <si>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</si>
  <si>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</si>
  <si>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</si>
  <si>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</si>
  <si>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</si>
  <si>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</si>
  <si>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</si>
  <si>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</si>
  <si>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</si>
  <si>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</si>
  <si>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</si>
  <si>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</si>
  <si>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</si>
  <si>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</si>
  <si>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</si>
  <si>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</si>
  <si>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</si>
  <si>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</si>
  <si>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</si>
  <si>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</si>
  <si>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</si>
  <si>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</si>
  <si>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</si>
  <si>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</si>
  <si>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</si>
  <si>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</si>
  <si>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</si>
  <si>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</si>
  <si>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</si>
  <si>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</si>
  <si>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</si>
  <si>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</si>
  <si>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</si>
  <si>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</si>
  <si>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</si>
  <si>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</si>
  <si>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</si>
  <si>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</si>
  <si>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</si>
  <si>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</si>
  <si>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</si>
  <si>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</si>
  <si>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</si>
  <si>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</si>
  <si>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</si>
  <si>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</si>
  <si>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</si>
  <si>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</si>
  <si>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</si>
  <si>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</si>
  <si>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</si>
  <si>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</si>
  <si>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</si>
  <si>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</si>
  <si>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</si>
  <si>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</si>
  <si>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</si>
  <si>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</si>
  <si>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</si>
  <si>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</si>
  <si>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</si>
  <si>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</si>
  <si>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</si>
  <si>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</si>
  <si>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</si>
  <si>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</si>
  <si>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</si>
  <si>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</si>
  <si>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</si>
  <si>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</si>
  <si>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</si>
  <si>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</si>
  <si>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</si>
  <si>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</si>
  <si>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</si>
  <si>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</si>
  <si>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</si>
  <si>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</si>
  <si>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</si>
  <si>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</si>
  <si>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</si>
  <si>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</si>
  <si>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</si>
  <si>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</si>
  <si>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</si>
  <si>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</si>
  <si>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</si>
  <si>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</si>
  <si>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</si>
  <si>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</si>
  <si>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</si>
  <si>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</si>
  <si>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</si>
  <si>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</si>
  <si>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</si>
  <si>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</si>
  <si>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</si>
  <si>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</si>
  <si>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</si>
  <si>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</si>
  <si>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</si>
  <si>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</si>
  <si>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</si>
  <si>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</si>
  <si>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</si>
  <si>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</si>
  <si>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</si>
  <si>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</si>
  <si>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</si>
  <si>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</si>
  <si>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</si>
  <si>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</si>
  <si>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</si>
  <si>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</si>
  <si>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</si>
  <si>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</si>
  <si>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</si>
  <si>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</si>
  <si>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</si>
  <si>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</si>
  <si>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</si>
  <si>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</si>
  <si>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</si>
  <si>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</si>
  <si>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</si>
  <si>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</si>
  <si>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</si>
  <si>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</si>
  <si>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</si>
  <si>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</si>
  <si>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</si>
  <si>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</si>
  <si>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</si>
  <si>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</si>
  <si>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</si>
  <si>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</si>
  <si>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</si>
  <si>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</si>
  <si>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</si>
  <si>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</si>
  <si>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</si>
  <si>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</si>
  <si>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</si>
  <si>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</si>
  <si>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</si>
  <si>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</si>
  <si>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</si>
  <si>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</si>
  <si>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</si>
  <si>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</si>
  <si>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</si>
  <si>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</si>
  <si>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</si>
  <si>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</si>
  <si>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</si>
  <si>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</si>
  <si>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</si>
  <si>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</si>
  <si>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</si>
  <si>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</si>
  <si>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</si>
  <si>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</si>
  <si>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</si>
  <si>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</si>
  <si>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</si>
  <si>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</si>
  <si>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</si>
  <si>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</si>
  <si>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</si>
  <si>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</si>
  <si>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</si>
  <si>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</si>
  <si>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</si>
  <si>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</si>
  <si>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</si>
  <si>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</si>
  <si>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</si>
  <si>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</si>
  <si>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</si>
  <si>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</si>
  <si>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</si>
  <si>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</si>
  <si>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</si>
  <si>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</si>
  <si>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</si>
  <si>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</si>
  <si>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</si>
  <si>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</si>
  <si>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</si>
  <si>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</si>
  <si>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</si>
  <si>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</si>
  <si>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</si>
  <si>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</si>
  <si>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</si>
  <si>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</si>
  <si>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</si>
  <si>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</si>
  <si>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</si>
  <si>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</si>
  <si>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</si>
  <si>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</si>
  <si>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</si>
  <si>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</si>
  <si>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</si>
  <si>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</si>
  <si>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</si>
  <si>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</si>
  <si>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</si>
  <si>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</si>
  <si>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</si>
  <si>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</si>
  <si>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</si>
  <si>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</si>
  <si>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</si>
  <si>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</si>
  <si>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</si>
  <si>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</si>
  <si>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</si>
  <si>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</si>
  <si>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</si>
  <si>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</si>
  <si>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</si>
  <si>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</si>
  <si>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</si>
  <si>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</si>
  <si>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</si>
  <si>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</si>
  <si>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</si>
  <si>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</si>
  <si>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</si>
  <si>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</si>
  <si>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</si>
  <si>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</si>
  <si>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</si>
  <si>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</si>
  <si>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</si>
  <si>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</si>
  <si>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</si>
  <si>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</si>
  <si>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</si>
  <si>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</si>
  <si>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</si>
  <si>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</si>
  <si>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</si>
  <si>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</si>
  <si>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</si>
  <si>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</si>
  <si>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</si>
  <si>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</si>
  <si>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</si>
  <si>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</si>
  <si>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</si>
  <si>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</si>
  <si>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</si>
  <si>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</si>
  <si>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</si>
  <si>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</si>
  <si>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</si>
  <si>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</si>
  <si>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</si>
  <si>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</si>
  <si>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</si>
  <si>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</si>
  <si>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</si>
  <si>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</si>
  <si>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</si>
  <si>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</si>
  <si>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</si>
  <si>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</si>
  <si>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</si>
  <si>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</si>
  <si>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</si>
  <si>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</si>
  <si>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</si>
  <si>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</si>
  <si>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</si>
  <si>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</si>
  <si>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</si>
  <si>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</si>
  <si>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</si>
  <si>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</si>
  <si>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</si>
  <si>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</si>
  <si>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</si>
  <si>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</si>
  <si>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</si>
  <si>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</si>
  <si>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</si>
  <si>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</si>
  <si>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</si>
  <si>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</si>
  <si>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</si>
  <si>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</si>
  <si>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</si>
  <si>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</si>
  <si>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</si>
  <si>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</si>
  <si>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</si>
  <si>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</si>
  <si>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</si>
  <si>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</si>
  <si>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</si>
  <si>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</si>
  <si>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</si>
  <si>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</si>
  <si>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</si>
  <si>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</si>
  <si>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</si>
  <si>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</si>
  <si>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</si>
  <si>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</si>
  <si>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</si>
  <si>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</si>
  <si>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</si>
  <si>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</si>
  <si>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</si>
  <si>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</si>
  <si>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</si>
  <si>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</si>
  <si>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</si>
  <si>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</si>
  <si>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</si>
  <si>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</si>
  <si>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</si>
  <si>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</si>
  <si>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</si>
  <si>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</si>
  <si>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</si>
  <si>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</si>
  <si>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</si>
  <si>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</si>
  <si>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</si>
  <si>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</si>
  <si>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</si>
  <si>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</si>
  <si>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</si>
  <si>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</si>
  <si>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</si>
  <si>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</si>
  <si>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</si>
  <si>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</si>
  <si>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</si>
  <si>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</si>
  <si>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</si>
  <si>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</si>
  <si>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</si>
  <si>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</si>
  <si>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</si>
  <si>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</si>
  <si>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</si>
  <si>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</si>
  <si>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</si>
  <si>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</si>
  <si>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</si>
  <si>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</si>
  <si>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</si>
  <si>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</si>
  <si>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</si>
  <si>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</si>
  <si>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</si>
  <si>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</si>
  <si>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</si>
  <si>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</si>
  <si>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</si>
  <si>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</si>
  <si>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</si>
  <si>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</si>
  <si>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</si>
  <si>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</si>
  <si>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</si>
  <si>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</si>
  <si>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</si>
  <si>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</si>
  <si>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</si>
  <si>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</si>
  <si>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</si>
  <si>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</si>
  <si>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</si>
  <si>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</si>
  <si>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</si>
  <si>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</si>
  <si>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</si>
  <si>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</si>
  <si>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</si>
  <si>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</si>
  <si>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</si>
  <si>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</si>
  <si>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</si>
  <si>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</si>
  <si>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</si>
  <si>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</si>
  <si>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</si>
  <si>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</si>
  <si>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</si>
  <si>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</si>
  <si>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</si>
  <si>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</si>
  <si>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</si>
  <si>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</si>
  <si>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</si>
  <si>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</si>
  <si>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</si>
  <si>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</si>
  <si>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</si>
  <si>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</si>
  <si>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</si>
  <si>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</si>
  <si>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</si>
  <si>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</si>
  <si>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</si>
  <si>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</si>
  <si>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</si>
  <si>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</si>
  <si>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</si>
  <si>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</si>
  <si>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</si>
  <si>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</si>
  <si>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</si>
  <si>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</si>
  <si>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</si>
  <si>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</si>
  <si>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</si>
  <si>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</si>
  <si>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</si>
  <si>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</si>
  <si>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</si>
  <si>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</si>
  <si>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</si>
  <si>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</si>
  <si>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</si>
  <si>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</si>
  <si>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</si>
  <si>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</si>
  <si>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</si>
  <si>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</si>
  <si>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</si>
  <si>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</si>
  <si>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</si>
  <si>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</si>
  <si>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</si>
  <si>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</si>
  <si>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</si>
  <si>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</si>
  <si>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</si>
  <si>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</si>
  <si>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</si>
  <si>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</si>
  <si>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</si>
  <si>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</si>
  <si>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</si>
  <si>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</si>
  <si>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</si>
  <si>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</si>
  <si>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</si>
  <si>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</si>
  <si>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</si>
  <si>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</si>
  <si>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</si>
  <si>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</si>
  <si>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</si>
  <si>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</si>
  <si>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</si>
  <si>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</si>
  <si>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</si>
  <si>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</si>
  <si>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</si>
  <si>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</si>
  <si>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</si>
  <si>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</si>
  <si>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</si>
  <si>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</si>
  <si>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</si>
  <si>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</si>
  <si>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</si>
  <si>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</si>
  <si>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</si>
  <si>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</si>
  <si>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</si>
  <si>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</si>
  <si>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</si>
  <si>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</si>
  <si>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</si>
  <si>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</si>
  <si>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</si>
  <si>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</si>
  <si>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</si>
  <si>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</si>
  <si>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</si>
  <si>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</si>
  <si>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</si>
  <si>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</si>
  <si>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</si>
  <si>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</si>
  <si>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</si>
  <si>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</si>
  <si>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</si>
  <si>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</si>
  <si>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</si>
  <si>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</si>
  <si>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</si>
  <si>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</si>
  <si>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</si>
  <si>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</si>
  <si>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</si>
  <si>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</si>
  <si>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</si>
  <si>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</si>
  <si>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</si>
  <si>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</si>
  <si>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</si>
  <si>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</si>
  <si>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</si>
  <si>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</si>
  <si>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</si>
  <si>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</si>
  <si>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</si>
  <si>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</si>
  <si>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</si>
  <si>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</si>
  <si>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</si>
  <si>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</si>
  <si>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</si>
  <si>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</si>
  <si>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</si>
  <si>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</si>
  <si>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</si>
  <si>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</si>
  <si>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</si>
  <si>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</si>
  <si>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</si>
  <si>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</si>
  <si>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</si>
  <si>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</si>
  <si>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</si>
  <si>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</si>
  <si>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</si>
  <si>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</si>
  <si>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</si>
  <si>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</si>
  <si>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</si>
  <si>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</si>
  <si>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</si>
  <si>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</si>
  <si>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</si>
  <si>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</si>
  <si>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</si>
  <si>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</si>
  <si>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</si>
  <si>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</si>
  <si>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</si>
  <si>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</si>
  <si>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</si>
  <si>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</si>
  <si>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</si>
  <si>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</si>
  <si>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</si>
  <si>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</si>
  <si>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</si>
  <si>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</si>
  <si>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</si>
  <si>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</si>
  <si>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</si>
  <si>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</si>
  <si>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</si>
  <si>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</si>
  <si>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</si>
  <si>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</si>
  <si>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</si>
  <si>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</si>
  <si>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</si>
  <si>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</si>
  <si>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</si>
  <si>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</si>
  <si>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</si>
  <si>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</si>
  <si>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</si>
  <si>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</si>
  <si>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</si>
  <si>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</si>
  <si>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</si>
  <si>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</si>
  <si>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</si>
  <si>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</si>
  <si>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</si>
  <si>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</si>
  <si>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</si>
  <si>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</si>
  <si>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</si>
  <si>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</si>
  <si>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</si>
  <si>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</si>
  <si>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</si>
  <si>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</si>
  <si>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</si>
  <si>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</si>
  <si>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</si>
  <si>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</si>
  <si>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</si>
  <si>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</si>
  <si>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</si>
  <si>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</si>
  <si>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</si>
  <si>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</si>
  <si>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</si>
  <si>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</si>
  <si>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</si>
  <si>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</si>
  <si>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</si>
  <si>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</si>
  <si>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</si>
  <si>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</si>
  <si>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</si>
  <si>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</si>
  <si>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</si>
  <si>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</si>
  <si>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</si>
  <si>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</si>
  <si>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</si>
  <si>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</si>
  <si>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</si>
  <si>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</si>
  <si>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</si>
  <si>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</si>
  <si>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</si>
  <si>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</si>
  <si>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</si>
  <si>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</si>
  <si>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</si>
  <si>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</si>
  <si>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</si>
  <si>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</si>
  <si>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</si>
  <si>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</si>
  <si>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</si>
  <si>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</si>
  <si>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</si>
  <si>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</si>
  <si>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</si>
  <si>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</si>
  <si>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</si>
  <si>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</si>
  <si>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</si>
  <si>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</si>
  <si>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</si>
  <si>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</si>
  <si>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</si>
  <si>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</si>
  <si>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</si>
  <si>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</si>
  <si>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</si>
  <si>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</si>
  <si>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</si>
  <si>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</si>
  <si>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</si>
  <si>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</si>
  <si>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</si>
  <si>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</si>
  <si>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</si>
  <si>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</si>
  <si>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</si>
  <si>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</si>
  <si>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</si>
  <si>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</si>
  <si>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</si>
  <si>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</si>
  <si>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</si>
  <si>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</si>
  <si>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</si>
  <si>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</si>
  <si>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</si>
  <si>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</si>
  <si>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</si>
  <si>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</si>
  <si>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</si>
  <si>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</si>
  <si>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</si>
  <si>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</si>
  <si>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</si>
  <si>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</si>
  <si>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</si>
  <si>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</si>
  <si>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</si>
  <si>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</si>
  <si>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</si>
  <si>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</si>
  <si>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</si>
  <si>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</si>
  <si>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</si>
  <si>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</si>
  <si>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</si>
  <si>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</si>
  <si>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</si>
  <si>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</si>
  <si>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</si>
  <si>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</si>
  <si>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</si>
  <si>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</si>
  <si>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</si>
  <si>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</si>
  <si>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</si>
  <si>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</si>
  <si>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</si>
  <si>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</si>
  <si>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</si>
  <si>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</si>
  <si>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</si>
  <si>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</si>
  <si>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</si>
  <si>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</si>
  <si>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</si>
  <si>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</si>
  <si>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</si>
  <si>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</si>
  <si>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</si>
  <si>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</si>
  <si>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</si>
  <si>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</si>
  <si>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</si>
  <si>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</si>
  <si>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</si>
  <si>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</si>
  <si>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</si>
  <si>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</si>
  <si>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</si>
  <si>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</si>
  <si>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</si>
  <si>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</si>
  <si>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</si>
  <si>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</si>
  <si>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</si>
  <si>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</si>
  <si>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</si>
  <si>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</si>
  <si>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</si>
  <si>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</si>
  <si>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</si>
  <si>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</si>
  <si>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</si>
  <si>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</si>
  <si>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</si>
  <si>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</si>
  <si>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</si>
  <si>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</si>
  <si>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</si>
  <si>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</si>
  <si>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</si>
  <si>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</si>
  <si>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</si>
  <si>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</si>
  <si>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</si>
  <si>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</si>
  <si>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</si>
  <si>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</si>
  <si>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</si>
  <si>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</si>
  <si>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</si>
  <si>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</si>
  <si>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</si>
  <si>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</si>
  <si>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</si>
  <si>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</si>
  <si>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</si>
  <si>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</si>
  <si>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</si>
  <si>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</si>
  <si>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</si>
  <si>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</si>
  <si>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</si>
  <si>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</si>
  <si>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</si>
  <si>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</si>
  <si>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</si>
  <si>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</si>
  <si>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</si>
  <si>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</si>
  <si>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</si>
  <si>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</si>
  <si>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</si>
  <si>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</si>
  <si>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</si>
  <si>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</si>
  <si>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</si>
  <si>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</si>
  <si>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</si>
  <si>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</si>
  <si>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</si>
  <si>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</si>
  <si>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</si>
  <si>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</si>
  <si>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</si>
  <si>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</si>
  <si>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</si>
  <si>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</si>
  <si>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</si>
  <si>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</si>
  <si>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</si>
  <si>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</si>
  <si>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</si>
  <si>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</si>
  <si>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</si>
  <si>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</si>
  <si>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</si>
  <si>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</si>
  <si>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</si>
  <si>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</si>
  <si>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</si>
  <si>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</si>
  <si>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</si>
  <si>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</si>
  <si>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</si>
  <si>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</si>
  <si>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</si>
  <si>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</si>
  <si>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</si>
  <si>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</si>
  <si>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</si>
  <si>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</si>
  <si>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</si>
  <si>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</si>
  <si>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</si>
  <si>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</si>
  <si>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</si>
  <si>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</si>
  <si>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</si>
  <si>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</si>
  <si>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</si>
  <si>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</si>
  <si>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</si>
  <si>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</si>
  <si>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</si>
  <si>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</si>
  <si>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</si>
  <si>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</si>
  <si>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</si>
  <si>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</si>
  <si>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</si>
  <si>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</si>
  <si>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</si>
  <si>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</si>
  <si>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</si>
  <si>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</si>
  <si>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</si>
  <si>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</si>
  <si>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</si>
  <si>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</si>
  <si>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</si>
  <si>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</si>
  <si>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</si>
  <si>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</si>
  <si>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</si>
  <si>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</si>
  <si>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</si>
  <si>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</si>
  <si>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</si>
  <si>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</si>
  <si>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</si>
  <si>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</si>
  <si>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</si>
  <si>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</si>
  <si>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</si>
  <si>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</si>
  <si>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</si>
  <si>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</si>
  <si>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</si>
  <si>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</si>
  <si>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</si>
  <si>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</si>
  <si>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</si>
  <si>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</si>
  <si>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</si>
  <si>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</si>
  <si>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</si>
  <si>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</si>
  <si>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</si>
  <si>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</si>
  <si>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</si>
  <si>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</si>
  <si>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</si>
  <si>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</si>
  <si>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</si>
  <si>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</si>
  <si>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</si>
  <si>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</si>
  <si>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</si>
  <si>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</si>
  <si>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</si>
  <si>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</si>
  <si>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</si>
  <si>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</si>
  <si>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</si>
  <si>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</si>
  <si>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</si>
  <si>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</si>
  <si>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</si>
  <si>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</si>
  <si>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</si>
  <si>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</si>
  <si>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</si>
  <si>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</si>
  <si>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</si>
  <si>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</si>
  <si>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</si>
  <si>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</si>
  <si>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</si>
  <si>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</si>
  <si>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</si>
  <si>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</si>
  <si>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</si>
  <si>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</si>
  <si>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</si>
  <si>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</si>
  <si>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</si>
  <si>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</si>
  <si>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</si>
  <si>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</si>
  <si>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</si>
  <si>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</si>
  <si>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</si>
  <si>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</si>
  <si>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</si>
  <si>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</si>
  <si>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</si>
  <si>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</si>
  <si>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</si>
  <si>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</si>
  <si>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</si>
  <si>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</si>
  <si>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</si>
  <si>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</si>
  <si>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</si>
  <si>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</si>
  <si>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</si>
  <si>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</si>
  <si>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</si>
  <si>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</si>
  <si>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</si>
  <si>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</si>
  <si>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</si>
  <si>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</si>
  <si>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</si>
  <si>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</si>
  <si>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</si>
  <si>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</si>
  <si>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</si>
  <si>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</si>
  <si>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</si>
  <si>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</si>
  <si>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</si>
  <si>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</si>
  <si>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</si>
  <si>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</si>
  <si>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</si>
  <si>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</si>
  <si>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</si>
  <si>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</si>
  <si>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</si>
  <si>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</si>
  <si>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</si>
  <si>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</si>
  <si>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</si>
  <si>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</si>
  <si>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</si>
  <si>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</si>
  <si>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</si>
  <si>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</si>
  <si>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</si>
  <si>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</si>
  <si>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</si>
  <si>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</si>
  <si>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</si>
  <si>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</si>
  <si>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</si>
  <si>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</si>
  <si>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</si>
  <si>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</si>
  <si>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</si>
  <si>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</si>
  <si>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</si>
  <si>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</si>
  <si>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</si>
  <si>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</si>
  <si>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</si>
  <si>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</si>
  <si>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</si>
  <si>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</si>
  <si>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</si>
  <si>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</si>
  <si>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</si>
  <si>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</si>
  <si>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</si>
  <si>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</si>
  <si>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</si>
  <si>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</si>
  <si>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</si>
  <si>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</si>
  <si>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</si>
  <si>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</si>
  <si>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</si>
  <si>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</si>
  <si>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</si>
  <si>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</si>
  <si>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</si>
  <si>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</si>
  <si>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</si>
  <si>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</si>
  <si>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</si>
  <si>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</si>
  <si>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</si>
  <si>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</si>
  <si>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</si>
  <si>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</si>
  <si>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</si>
  <si>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</si>
  <si>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</si>
  <si>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</si>
  <si>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</si>
  <si>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</si>
  <si>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</si>
  <si>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</si>
  <si>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</si>
  <si>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</si>
  <si>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</si>
  <si>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</si>
  <si>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</si>
  <si>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</si>
  <si>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</si>
  <si>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</si>
  <si>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</si>
  <si>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</si>
  <si>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</si>
  <si>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</si>
  <si>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</si>
  <si>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</si>
  <si>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</si>
  <si>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</si>
  <si>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</si>
  <si>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</si>
  <si>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</si>
  <si>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</si>
  <si>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</si>
  <si>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</si>
  <si>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</si>
  <si>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</si>
  <si>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</si>
  <si>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</si>
  <si>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</si>
  <si>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</si>
  <si>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</si>
  <si>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</si>
  <si>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</si>
  <si>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</si>
  <si>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</si>
  <si>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</si>
  <si>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</si>
  <si>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</si>
  <si>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</si>
  <si>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</si>
  <si>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</si>
  <si>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</si>
  <si>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</si>
  <si>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</si>
  <si>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</si>
  <si>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</si>
  <si>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</si>
  <si>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</si>
  <si>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</si>
  <si>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</si>
  <si>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</si>
  <si>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</si>
  <si>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</si>
  <si>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</si>
  <si>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</si>
  <si>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</si>
  <si>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</si>
  <si>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</si>
  <si>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</si>
  <si>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</si>
  <si>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</si>
  <si>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</si>
  <si>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</si>
  <si>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</si>
  <si>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</si>
  <si>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</si>
  <si>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</si>
  <si>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</si>
  <si>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</si>
  <si>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</si>
  <si>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</si>
  <si>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</si>
  <si>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</si>
  <si>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</si>
  <si>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</si>
  <si>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</si>
  <si>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</si>
  <si>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</si>
  <si>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</si>
  <si>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</si>
  <si>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</si>
  <si>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</si>
  <si>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</si>
  <si>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</si>
  <si>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</si>
  <si>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</si>
  <si>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</si>
  <si>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</si>
  <si>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</si>
  <si>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</si>
  <si>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</si>
  <si>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</si>
  <si>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</si>
  <si>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</si>
  <si>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</si>
  <si>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</si>
  <si>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</si>
  <si>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</si>
  <si>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</si>
  <si>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</si>
  <si>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</si>
  <si>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</si>
  <si>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</si>
  <si>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</si>
  <si>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</si>
  <si>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</si>
  <si>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</si>
  <si>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</si>
  <si>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</si>
  <si>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</si>
  <si>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</si>
  <si>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</si>
  <si>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</si>
  <si>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</si>
  <si>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</si>
  <si>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</si>
  <si>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</si>
  <si>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</si>
  <si>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</si>
  <si>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</si>
  <si>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</si>
  <si>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</si>
  <si>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</si>
  <si>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</si>
  <si>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</si>
  <si>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</si>
  <si>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</si>
  <si>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</si>
  <si>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</si>
  <si>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</si>
  <si>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</si>
  <si>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</si>
  <si>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</si>
  <si>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</si>
  <si>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</si>
  <si>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</si>
  <si>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</si>
  <si>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</si>
  <si>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</si>
  <si>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</si>
  <si>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</si>
  <si>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</si>
  <si>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</si>
  <si>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</si>
  <si>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</si>
  <si>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</si>
  <si>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</si>
  <si>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</si>
  <si>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</si>
  <si>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</si>
  <si>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</si>
  <si>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</si>
  <si>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</si>
  <si>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</si>
  <si>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</si>
  <si>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</si>
  <si>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</si>
  <si>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</si>
  <si>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</si>
  <si>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</si>
  <si>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</si>
  <si>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</si>
  <si>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</si>
  <si>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</si>
  <si>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</si>
  <si>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</si>
  <si>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</si>
  <si>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</si>
  <si>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</si>
  <si>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</si>
  <si>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</si>
  <si>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</si>
  <si>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</si>
  <si>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</si>
  <si>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</si>
  <si>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</si>
  <si>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</si>
  <si>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</si>
  <si>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</si>
  <si>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</si>
  <si>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</si>
  <si>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</si>
  <si>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</si>
  <si>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</si>
  <si>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</si>
  <si>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</si>
  <si>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</si>
  <si>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</si>
  <si>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</si>
  <si>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</si>
  <si>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</si>
  <si>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</si>
  <si>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</si>
  <si>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</si>
  <si>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</si>
  <si>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</si>
  <si>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</si>
  <si>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</si>
  <si>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</si>
  <si>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</si>
  <si>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</si>
  <si>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</si>
  <si>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</si>
  <si>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</si>
  <si>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</si>
  <si>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</si>
  <si>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</si>
  <si>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</si>
  <si>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</si>
  <si>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</si>
  <si>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</si>
  <si>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</si>
  <si>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</si>
  <si>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</si>
  <si>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</si>
  <si>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</si>
  <si>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</si>
  <si>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</si>
  <si>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</si>
  <si>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</si>
  <si>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</si>
  <si>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</si>
  <si>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</si>
  <si>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</si>
  <si>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</si>
  <si>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</si>
  <si>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</si>
  <si>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</si>
  <si>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</si>
  <si>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</si>
  <si>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</si>
  <si>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</si>
  <si>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</si>
  <si>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</si>
  <si>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</si>
  <si>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</si>
  <si>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</si>
  <si>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</si>
  <si>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</si>
  <si>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</si>
  <si>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</si>
  <si>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</si>
  <si>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</si>
  <si>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</si>
  <si>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</si>
  <si>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</si>
  <si>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</si>
  <si>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</si>
  <si>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</si>
  <si>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</si>
  <si>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</si>
  <si>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</si>
  <si>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</si>
  <si>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</si>
  <si>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</si>
  <si>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</si>
  <si>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</si>
  <si>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</si>
  <si>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</si>
  <si>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</si>
  <si>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</si>
  <si>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</si>
  <si>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</si>
  <si>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</si>
  <si>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</si>
  <si>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</si>
  <si>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</si>
  <si>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</si>
  <si>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</si>
  <si>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</si>
  <si>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</si>
  <si>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</si>
  <si>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</si>
  <si>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</si>
  <si>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</si>
  <si>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</si>
  <si>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</si>
  <si>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</si>
  <si>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</si>
  <si>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</si>
  <si>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</si>
  <si>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</si>
  <si>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</si>
  <si>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</si>
  <si>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</si>
  <si>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</si>
  <si>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</si>
  <si>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</si>
  <si>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</si>
  <si>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</si>
  <si>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</si>
  <si>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</si>
  <si>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</si>
  <si>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</si>
  <si>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</si>
  <si>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</si>
  <si>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</si>
  <si>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</si>
  <si>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</si>
  <si>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</si>
  <si>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</si>
  <si>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</si>
  <si>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</si>
  <si>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</si>
  <si>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</si>
  <si>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</si>
  <si>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</si>
  <si>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</si>
  <si>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</si>
  <si>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</si>
  <si>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</si>
  <si>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</si>
  <si>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</si>
  <si>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</si>
  <si>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</si>
  <si>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</si>
  <si>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</si>
  <si>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</si>
  <si>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</si>
  <si>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</si>
  <si>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</si>
  <si>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</si>
  <si>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</si>
  <si>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</si>
  <si>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</si>
  <si>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</si>
  <si>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</si>
  <si>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</si>
  <si>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</si>
  <si>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</si>
  <si>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</si>
  <si>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</si>
  <si>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</si>
  <si>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</si>
  <si>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</si>
  <si>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</si>
  <si>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</si>
  <si>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</si>
  <si>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</si>
  <si>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</si>
  <si>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</si>
  <si>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</si>
  <si>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</si>
  <si>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</si>
  <si>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</si>
  <si>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</si>
  <si>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</si>
  <si>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</si>
  <si>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</si>
  <si>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</si>
  <si>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</si>
  <si>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</si>
  <si>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</si>
  <si>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</si>
  <si>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</si>
  <si>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</si>
  <si>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</si>
  <si>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</si>
  <si>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</si>
  <si>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</si>
  <si>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</si>
  <si>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</si>
  <si>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</si>
  <si>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</si>
  <si>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</si>
  <si>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</si>
  <si>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</si>
  <si>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</si>
  <si>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</si>
  <si>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</si>
  <si>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</si>
  <si>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</si>
  <si>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</si>
  <si>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</si>
  <si>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</si>
  <si>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</si>
  <si>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</si>
  <si>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</si>
  <si>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</si>
  <si>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</si>
  <si>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</si>
  <si>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</si>
  <si>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</si>
  <si>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</si>
  <si>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</si>
  <si>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</si>
  <si>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</si>
  <si>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</si>
  <si>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</si>
  <si>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</si>
  <si>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</si>
  <si>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</si>
  <si>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</si>
  <si>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</si>
  <si>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</si>
  <si>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</si>
  <si>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</si>
  <si>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</si>
  <si>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</si>
  <si>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</si>
  <si>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</si>
  <si>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</si>
  <si>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</si>
  <si>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</si>
  <si>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</si>
  <si>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</si>
  <si>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</si>
  <si>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</si>
  <si>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</si>
  <si>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</si>
  <si>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</si>
  <si>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</si>
  <si>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</si>
  <si>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</si>
  <si>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</si>
  <si>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</si>
  <si>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</si>
  <si>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</si>
  <si>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</si>
  <si>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</si>
  <si>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</si>
  <si>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</si>
  <si>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</si>
  <si>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</si>
  <si>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</si>
  <si>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</si>
  <si>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</si>
  <si>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</si>
  <si>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</si>
  <si>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</si>
  <si>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</si>
  <si>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</si>
  <si>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</si>
  <si>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</si>
  <si>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</si>
  <si>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</si>
  <si>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</si>
  <si>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</si>
  <si>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</si>
  <si>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</si>
  <si>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</si>
  <si>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</si>
  <si>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</si>
  <si>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</si>
  <si>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</si>
  <si>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</si>
  <si>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</si>
  <si>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</si>
  <si>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</si>
  <si>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</si>
  <si>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</si>
  <si>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</si>
  <si>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</si>
  <si>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</si>
  <si>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</si>
  <si>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</si>
  <si>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</si>
  <si>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</si>
  <si>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</si>
  <si>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</si>
  <si>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</si>
  <si>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</si>
  <si>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</si>
  <si>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</si>
  <si>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</si>
  <si>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</si>
  <si>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</si>
  <si>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</si>
  <si>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</si>
  <si>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</si>
  <si>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</si>
  <si>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</si>
  <si>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</si>
  <si>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</si>
  <si>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</si>
  <si>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</si>
  <si>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</si>
  <si>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</si>
  <si>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</si>
  <si>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</si>
  <si>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</si>
  <si>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</si>
  <si>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</si>
  <si>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</si>
  <si>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</si>
  <si>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</si>
  <si>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</si>
  <si>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</si>
  <si>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</si>
  <si>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</si>
  <si>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</si>
  <si>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</si>
  <si>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</si>
  <si>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</si>
  <si>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</si>
  <si>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</si>
  <si>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</si>
  <si>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</si>
  <si>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</si>
  <si>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</si>
  <si>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</si>
  <si>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</si>
  <si>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</si>
  <si>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</si>
  <si>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</si>
  <si>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</si>
  <si>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</si>
  <si>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</si>
  <si>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</si>
  <si>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</si>
  <si>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</si>
  <si>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</si>
  <si>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</si>
  <si>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</si>
  <si>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</si>
  <si>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</si>
  <si>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</si>
  <si>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</si>
  <si>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</si>
  <si>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</si>
  <si>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</si>
  <si>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</si>
  <si>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</si>
  <si>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</si>
  <si>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</si>
  <si>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</si>
  <si>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</si>
  <si>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</si>
  <si>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</si>
  <si>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</si>
  <si>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</si>
  <si>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</si>
  <si>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</si>
  <si>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</si>
  <si>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</si>
  <si>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</si>
  <si>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</si>
  <si>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</si>
  <si>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</si>
  <si>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</si>
  <si>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</si>
  <si>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</si>
  <si>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</si>
  <si>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</si>
  <si>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</si>
  <si>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</si>
  <si>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</si>
  <si>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</si>
  <si>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</si>
  <si>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</si>
  <si>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</si>
  <si>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</si>
  <si>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</si>
  <si>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</si>
  <si>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</si>
  <si>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</si>
  <si>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</si>
  <si>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</si>
  <si>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</si>
  <si>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</si>
  <si>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</si>
  <si>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</si>
  <si>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</si>
  <si>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</si>
  <si>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</si>
  <si>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</si>
  <si>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</si>
  <si>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</si>
  <si>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</si>
  <si>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</si>
  <si>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</si>
  <si>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</si>
  <si>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</si>
  <si>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</si>
  <si>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</si>
  <si>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</si>
  <si>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</si>
  <si>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</si>
  <si>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</si>
  <si>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</si>
  <si>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</si>
  <si>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</si>
  <si>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</si>
  <si>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</si>
  <si>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</si>
  <si>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</si>
  <si>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</si>
  <si>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</si>
  <si>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</si>
  <si>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</si>
  <si>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</si>
  <si>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</si>
  <si>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</si>
  <si>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</si>
  <si>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</si>
  <si>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</si>
  <si>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</si>
  <si>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</si>
  <si>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</si>
  <si>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</si>
  <si>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</si>
  <si>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</si>
  <si>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</si>
  <si>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</si>
  <si>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</si>
  <si>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</si>
  <si>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</si>
  <si>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</si>
  <si>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</si>
  <si>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</si>
  <si>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</si>
  <si>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</si>
  <si>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</si>
  <si>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</si>
  <si>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</si>
  <si>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</si>
  <si>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</si>
  <si>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</si>
  <si>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</si>
  <si>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</si>
  <si>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</si>
  <si>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</si>
  <si>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</si>
  <si>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</si>
  <si>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</si>
  <si>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</si>
  <si>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</si>
  <si>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</si>
  <si>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</si>
  <si>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</si>
  <si>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</si>
  <si>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</si>
  <si>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</si>
  <si>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</si>
  <si>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</si>
  <si>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</si>
  <si>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</si>
  <si>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</si>
  <si>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</si>
  <si>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</si>
  <si>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</si>
  <si>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</si>
  <si>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</si>
  <si>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</si>
  <si>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</si>
  <si>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</si>
  <si>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</si>
  <si>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</si>
  <si>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</si>
  <si>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</si>
  <si>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</si>
  <si>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</si>
  <si>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</si>
  <si>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</si>
  <si>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</si>
  <si>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</si>
  <si>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</si>
  <si>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</si>
  <si>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</si>
  <si>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</si>
  <si>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</si>
  <si>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</si>
  <si>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</si>
  <si>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</si>
  <si>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</si>
  <si>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</si>
  <si>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</si>
  <si>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</si>
  <si>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</si>
  <si>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</si>
  <si>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</si>
  <si>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</si>
  <si>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</si>
  <si>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</si>
  <si>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</si>
  <si>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</si>
  <si>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</si>
  <si>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</si>
  <si>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</si>
  <si>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</si>
  <si>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</si>
  <si>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</si>
  <si>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</si>
  <si>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</si>
  <si>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</si>
  <si>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</si>
  <si>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</si>
  <si>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</si>
  <si>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</si>
  <si>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</si>
  <si>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</si>
  <si>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</si>
  <si>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</si>
  <si>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</si>
  <si>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</si>
  <si>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</si>
  <si>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</si>
  <si>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</si>
  <si>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</si>
  <si>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</si>
  <si>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</si>
  <si>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</si>
  <si>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</si>
  <si>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</si>
  <si>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</si>
  <si>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</si>
  <si>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</si>
  <si>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</si>
  <si>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</si>
  <si>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</si>
  <si>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</si>
  <si>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</si>
  <si>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</si>
  <si>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</si>
  <si>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</si>
  <si>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</si>
  <si>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</si>
  <si>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</si>
  <si>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</si>
  <si>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</si>
  <si>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</si>
  <si>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</si>
  <si>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</si>
  <si>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</si>
  <si>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</si>
  <si>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</si>
  <si>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</si>
  <si>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</si>
  <si>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</si>
  <si>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</si>
  <si>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</si>
  <si>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</si>
  <si>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</si>
  <si>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</si>
  <si>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</si>
  <si>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</si>
  <si>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</si>
  <si>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</si>
  <si>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</si>
  <si>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</si>
  <si>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</si>
  <si>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</si>
  <si>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</si>
  <si>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</si>
  <si>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</si>
  <si>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</si>
  <si>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</si>
  <si>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</si>
  <si>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</si>
  <si>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</si>
  <si>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</si>
  <si>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</si>
  <si>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</si>
  <si>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</si>
  <si>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</si>
  <si>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</si>
  <si>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</si>
  <si>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</si>
  <si>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</si>
  <si>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</si>
  <si>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</si>
  <si>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</si>
  <si>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</si>
  <si>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</si>
  <si>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</si>
  <si>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</si>
  <si>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</si>
  <si>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</si>
  <si>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</si>
  <si>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</si>
  <si>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</si>
  <si>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</si>
  <si>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</si>
  <si>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</si>
  <si>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</si>
  <si>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</si>
  <si>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</si>
  <si>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</si>
  <si>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</si>
  <si>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</si>
  <si>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</si>
  <si>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</si>
  <si>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</si>
  <si>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</si>
  <si>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</si>
  <si>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</si>
  <si>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</si>
  <si>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</si>
  <si>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</si>
  <si>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</si>
  <si>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</si>
  <si>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</si>
  <si>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</si>
  <si>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</si>
  <si>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</si>
  <si>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</si>
  <si>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</si>
  <si>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</si>
  <si>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</si>
  <si>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</si>
  <si>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</si>
  <si>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</si>
  <si>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</si>
  <si>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</si>
  <si>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</si>
  <si>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</si>
  <si>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</si>
  <si>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</si>
  <si>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</si>
  <si>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</si>
  <si>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</si>
  <si>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</si>
  <si>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</si>
  <si>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</si>
  <si>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</si>
  <si>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</si>
  <si>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</si>
  <si>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</si>
  <si>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</si>
  <si>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</si>
  <si>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</si>
  <si>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</si>
  <si>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</si>
  <si>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</si>
  <si>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</si>
  <si>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</si>
  <si>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</si>
  <si>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</si>
  <si>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</si>
  <si>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</si>
  <si>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</si>
  <si>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</si>
  <si>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</si>
  <si>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</si>
  <si>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</si>
  <si>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</si>
  <si>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</si>
  <si>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</si>
  <si>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</si>
  <si>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</si>
  <si>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</si>
  <si>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</si>
  <si>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</si>
  <si>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</si>
  <si>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</si>
  <si>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</si>
  <si>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</si>
  <si>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</si>
  <si>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</si>
  <si>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</si>
  <si>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</si>
  <si>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</si>
  <si>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</si>
  <si>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</si>
  <si>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</si>
  <si>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</si>
  <si>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</si>
  <si>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</si>
  <si>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</si>
  <si>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</si>
  <si>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</si>
  <si>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</si>
  <si>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</si>
  <si>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</si>
  <si>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</si>
  <si>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</si>
  <si>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</si>
  <si>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</si>
  <si>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</si>
  <si>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</si>
  <si>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</si>
  <si>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</si>
  <si>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</si>
  <si>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</si>
  <si>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</si>
  <si>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</si>
  <si>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</si>
  <si>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</si>
  <si>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</si>
  <si>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</si>
  <si>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</si>
  <si>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</si>
  <si>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</si>
  <si>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</si>
  <si>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</si>
  <si>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</si>
  <si>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</si>
  <si>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</si>
  <si>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</si>
  <si>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</si>
  <si>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</si>
  <si>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</si>
  <si>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</si>
  <si>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</si>
  <si>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</si>
  <si>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</si>
  <si>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</si>
  <si>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</si>
  <si>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</si>
  <si>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</si>
  <si>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</si>
  <si>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</si>
  <si>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</si>
  <si>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</si>
  <si>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</si>
  <si>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</si>
  <si>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</si>
  <si>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</si>
  <si>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</si>
  <si>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</si>
  <si>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</si>
  <si>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</si>
  <si>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</si>
  <si>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</si>
  <si>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</si>
  <si>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</si>
  <si>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</si>
  <si>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</si>
  <si>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</si>
  <si>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</si>
  <si>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</si>
  <si>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</si>
  <si>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</si>
  <si>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</si>
  <si>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</si>
  <si>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</si>
  <si>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</si>
  <si>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</si>
  <si>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</si>
  <si>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</si>
  <si>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</si>
  <si>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</si>
  <si>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</si>
  <si>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</si>
  <si>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</si>
  <si>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</si>
  <si>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</si>
  <si>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</si>
  <si>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</si>
  <si>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</si>
  <si>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</si>
  <si>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</si>
  <si>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</si>
  <si>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</si>
  <si>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</si>
  <si>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</si>
  <si>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</si>
  <si>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</si>
  <si>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</si>
  <si>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</si>
  <si>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</si>
  <si>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</si>
  <si>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</si>
  <si>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</si>
  <si>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</si>
  <si>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</si>
  <si>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</si>
  <si>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</si>
  <si>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</si>
  <si>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</si>
  <si>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</si>
  <si>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</si>
  <si>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</si>
  <si>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</si>
  <si>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</si>
  <si>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</si>
  <si>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</si>
  <si>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</si>
  <si>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</si>
  <si>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</si>
  <si>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</si>
  <si>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</si>
  <si>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</si>
  <si>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</si>
  <si>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</si>
  <si>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</si>
  <si>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</si>
  <si>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</si>
  <si>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</si>
  <si>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</si>
  <si>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</si>
  <si>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</si>
  <si>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</si>
  <si>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</si>
  <si>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</si>
  <si>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</si>
  <si>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</si>
  <si>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</si>
  <si>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</si>
  <si>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</si>
  <si>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</si>
  <si>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</si>
  <si>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</si>
  <si>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</si>
  <si>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</si>
  <si>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</si>
  <si>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</si>
  <si>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</si>
  <si>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</si>
  <si>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</si>
  <si>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</si>
  <si>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</si>
  <si>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</si>
  <si>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</si>
  <si>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</si>
  <si>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</si>
  <si>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</si>
  <si>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</si>
  <si>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</si>
  <si>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</si>
  <si>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</si>
  <si>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</si>
  <si>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</si>
  <si>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</si>
  <si>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</si>
  <si>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</si>
  <si>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</si>
  <si>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</si>
  <si>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</si>
  <si>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</si>
  <si>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</si>
  <si>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</si>
  <si>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</si>
  <si>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</si>
  <si>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</si>
  <si>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</si>
  <si>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</si>
  <si>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</si>
  <si>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</si>
  <si>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</si>
  <si>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</si>
  <si>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</si>
  <si>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</si>
  <si>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</si>
  <si>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</si>
  <si>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</si>
  <si>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</si>
  <si>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</si>
  <si>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</si>
  <si>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</si>
  <si>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</si>
  <si>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</si>
  <si>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</si>
  <si>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</si>
  <si>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</si>
  <si>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</si>
  <si>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</si>
  <si>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</si>
  <si>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</si>
  <si>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</si>
  <si>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</si>
  <si>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</si>
  <si>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</si>
  <si>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</si>
  <si>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</si>
  <si>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</si>
  <si>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</si>
  <si>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</si>
  <si>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</si>
  <si>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</si>
  <si>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</si>
  <si>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</si>
  <si>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</si>
  <si>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</si>
  <si>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</si>
  <si>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</si>
  <si>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</si>
  <si>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</si>
  <si>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</si>
  <si>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</si>
  <si>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</si>
  <si>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</si>
  <si>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</si>
  <si>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</si>
  <si>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</si>
  <si>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</si>
  <si>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</si>
  <si>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</si>
  <si>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</si>
  <si>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</si>
  <si>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</si>
  <si>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</si>
  <si>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</si>
  <si>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</si>
  <si>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</si>
  <si>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</si>
  <si>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</si>
  <si>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</si>
  <si>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</si>
  <si>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</si>
  <si>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</si>
  <si>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</si>
  <si>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</si>
  <si>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</si>
  <si>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</si>
  <si>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</si>
  <si>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</si>
  <si>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</si>
  <si>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</si>
  <si>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</si>
  <si>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</si>
  <si>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</si>
  <si>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</si>
  <si>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</si>
  <si>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</si>
  <si>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</si>
  <si>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</si>
  <si>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</si>
  <si>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</si>
  <si>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</si>
  <si>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</si>
  <si>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</si>
  <si>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</si>
  <si>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</si>
  <si>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</si>
  <si>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</si>
  <si>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</si>
  <si>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</si>
  <si>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</si>
  <si>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</si>
  <si>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</si>
  <si>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</si>
  <si>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</si>
  <si>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</si>
  <si>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</si>
  <si>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</si>
  <si>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</si>
  <si>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</si>
  <si>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</si>
  <si>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</si>
  <si>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</si>
  <si>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</si>
  <si>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</si>
  <si>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</si>
  <si>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</si>
  <si>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</si>
  <si>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</si>
  <si>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</si>
  <si>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</si>
  <si>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</si>
  <si>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</si>
  <si>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</si>
  <si>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</si>
  <si>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</si>
  <si>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</si>
  <si>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</si>
  <si>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</si>
  <si>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</si>
  <si>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</si>
  <si>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</si>
  <si>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</si>
  <si>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</si>
  <si>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</si>
  <si>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</si>
  <si>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</si>
  <si>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</si>
  <si>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</si>
  <si>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</si>
  <si>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</si>
  <si>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</si>
  <si>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</si>
  <si>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</si>
  <si>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</si>
  <si>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</si>
  <si>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</si>
  <si>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</si>
  <si>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</si>
  <si>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</si>
  <si>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</si>
  <si>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</si>
  <si>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</si>
  <si>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</si>
  <si>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</si>
  <si>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</si>
  <si>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</si>
  <si>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</si>
  <si>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</si>
  <si>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</si>
  <si>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</si>
  <si>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</si>
  <si>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</si>
  <si>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</si>
  <si>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</si>
  <si>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</si>
  <si>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</si>
  <si>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</si>
  <si>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</si>
  <si>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</si>
  <si>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</si>
  <si>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</si>
  <si>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</si>
  <si>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</si>
  <si>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</si>
  <si>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</si>
  <si>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</si>
  <si>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</si>
  <si>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</si>
  <si>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</si>
  <si>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</si>
  <si>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</si>
  <si>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</si>
  <si>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</si>
  <si>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</si>
  <si>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</si>
  <si>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</si>
  <si>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</si>
  <si>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</si>
  <si>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</si>
  <si>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</si>
  <si>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</si>
  <si>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</si>
  <si>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</si>
  <si>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</si>
  <si>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</si>
  <si>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</si>
  <si>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</si>
  <si>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</si>
  <si>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</si>
  <si>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</si>
  <si>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</si>
  <si>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</si>
  <si>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</si>
  <si>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</si>
  <si>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</si>
  <si>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</si>
  <si>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</si>
  <si>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</si>
  <si>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</si>
  <si>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</si>
  <si>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</si>
  <si>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</si>
  <si>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</si>
  <si>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</si>
  <si>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</si>
  <si>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</si>
  <si>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</si>
  <si>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</si>
  <si>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</si>
  <si>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</si>
  <si>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</si>
  <si>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</si>
  <si>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</si>
  <si>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</si>
  <si>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</si>
  <si>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</si>
  <si>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</si>
  <si>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</si>
  <si>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</si>
  <si>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</si>
  <si>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</si>
  <si>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</si>
  <si>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</si>
  <si>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</si>
  <si>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</si>
  <si>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</si>
  <si>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</si>
  <si>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</si>
  <si>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</si>
  <si>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</si>
  <si>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</si>
  <si>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</si>
  <si>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</si>
  <si>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</si>
  <si>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</si>
  <si>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</si>
  <si>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</si>
  <si>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</si>
  <si>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</si>
  <si>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</si>
  <si>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</si>
  <si>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</si>
  <si>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</si>
  <si>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</si>
  <si>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</si>
  <si>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</si>
  <si>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</si>
  <si>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</si>
  <si>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</si>
  <si>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</si>
  <si>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</si>
  <si>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</si>
  <si>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</si>
  <si>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</si>
  <si>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</si>
  <si>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</si>
  <si>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</si>
  <si>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</si>
  <si>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</si>
  <si>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</si>
  <si>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</si>
  <si>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</si>
  <si>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</si>
  <si>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</si>
  <si>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</si>
  <si>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</si>
  <si>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</si>
  <si>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</si>
  <si>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</si>
  <si>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</si>
  <si>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</si>
  <si>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</si>
  <si>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</si>
  <si>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</si>
  <si>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</si>
  <si>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</si>
  <si>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</si>
  <si>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</si>
  <si>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</si>
  <si>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</si>
  <si>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</si>
  <si>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</si>
  <si>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</si>
  <si>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</si>
  <si>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</si>
  <si>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</si>
  <si>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</si>
  <si>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</si>
  <si>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</si>
  <si>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</si>
  <si>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</si>
  <si>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</si>
  <si>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</si>
  <si>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</si>
  <si>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</si>
  <si>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</si>
  <si>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</si>
  <si>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</si>
  <si>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</si>
  <si>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</si>
  <si>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</si>
  <si>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</si>
  <si>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</si>
  <si>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</si>
  <si>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</si>
  <si>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</si>
  <si>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</si>
  <si>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</si>
  <si>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</si>
  <si>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</si>
  <si>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</si>
  <si>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</si>
  <si>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</si>
  <si>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</si>
  <si>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</si>
  <si>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</si>
  <si>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</si>
  <si>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</si>
  <si>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</si>
  <si>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</si>
  <si>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</si>
  <si>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</si>
  <si>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</si>
  <si>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</si>
  <si>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</si>
  <si>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</si>
  <si>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</si>
  <si>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</si>
  <si>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</si>
  <si>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</si>
  <si>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</si>
  <si>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</si>
  <si>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</si>
  <si>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</si>
  <si>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</si>
  <si>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</si>
  <si>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</si>
  <si>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</si>
  <si>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</si>
  <si>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</si>
  <si>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</si>
  <si>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</si>
  <si>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</si>
  <si>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</si>
  <si>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</si>
  <si>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</si>
  <si>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</si>
  <si>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</si>
  <si>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</si>
  <si>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</si>
  <si>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</si>
  <si>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</si>
  <si>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</si>
  <si>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</si>
  <si>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</si>
  <si>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</si>
  <si>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</si>
  <si>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</si>
  <si>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</si>
  <si>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</si>
  <si>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</si>
  <si>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</si>
  <si>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</si>
  <si>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</si>
  <si>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</si>
  <si>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</si>
  <si>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</si>
  <si>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</si>
  <si>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</si>
  <si>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</si>
  <si>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</si>
  <si>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</si>
  <si>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</si>
  <si>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</si>
  <si>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</si>
  <si>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</si>
  <si>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</si>
  <si>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</si>
  <si>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</si>
  <si>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</si>
  <si>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</si>
  <si>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</si>
  <si>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</si>
  <si>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</si>
  <si>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</si>
  <si>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</si>
  <si>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</si>
  <si>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</si>
  <si>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</si>
  <si>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</si>
  <si>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</si>
  <si>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</si>
  <si>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</si>
  <si>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</si>
  <si>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</si>
  <si>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</si>
  <si>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</si>
  <si>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</si>
  <si>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</si>
  <si>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</si>
  <si>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</si>
  <si>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</si>
  <si>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</si>
  <si>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</si>
  <si>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</si>
  <si>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</si>
  <si>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</si>
  <si>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</si>
  <si>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</si>
  <si>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</si>
  <si>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</si>
  <si>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</si>
  <si>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</si>
  <si>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</si>
  <si>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</si>
  <si>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</si>
  <si>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</si>
  <si>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</si>
  <si>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</si>
  <si>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</si>
  <si>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</si>
  <si>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</si>
  <si>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</si>
  <si>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</si>
  <si>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</si>
  <si>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</si>
  <si>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</si>
  <si>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</si>
  <si>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</si>
  <si>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</si>
  <si>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</si>
  <si>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</si>
  <si>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</si>
  <si>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</si>
  <si>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</si>
  <si>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</si>
  <si>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</si>
  <si>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</si>
  <si>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</si>
  <si>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</si>
  <si>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</si>
  <si>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</si>
  <si>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</si>
  <si>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</si>
  <si>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</si>
  <si>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</si>
  <si>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</si>
  <si>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</si>
  <si>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</si>
  <si>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</si>
  <si>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</si>
  <si>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</si>
  <si>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</si>
  <si>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</si>
  <si>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</si>
  <si>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</si>
  <si>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</si>
  <si>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</si>
  <si>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</si>
  <si>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</si>
  <si>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</si>
  <si>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</si>
  <si>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</si>
  <si>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</si>
  <si>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</si>
  <si>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</si>
  <si>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</si>
  <si>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</si>
  <si>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</si>
  <si>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</si>
  <si>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</si>
  <si>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</si>
  <si>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</si>
  <si>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</si>
  <si>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</si>
  <si>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</si>
  <si>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</si>
  <si>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</si>
  <si>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</si>
  <si>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</si>
  <si>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</si>
  <si>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</si>
  <si>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</si>
  <si>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</si>
  <si>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</si>
  <si>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</si>
  <si>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</si>
  <si>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</si>
  <si>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</si>
  <si>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</si>
  <si>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</si>
  <si>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</si>
  <si>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</si>
  <si>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</si>
  <si>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</si>
  <si>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</si>
  <si>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</si>
  <si>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</si>
  <si>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</si>
  <si>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</si>
  <si>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</si>
  <si>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</si>
  <si>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</si>
  <si>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</si>
  <si>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</si>
  <si>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</si>
  <si>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</si>
  <si>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</si>
  <si>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</si>
  <si>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</si>
  <si>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</si>
  <si>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</si>
  <si>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</si>
  <si>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</si>
  <si>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</si>
  <si>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</si>
  <si>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</si>
  <si>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</si>
  <si>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</si>
  <si>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</si>
  <si>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</si>
  <si>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</si>
  <si>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</si>
  <si>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</si>
  <si>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</si>
  <si>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</si>
  <si>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</si>
  <si>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</si>
  <si>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</si>
  <si>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</si>
  <si>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</si>
  <si>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</si>
  <si>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</si>
  <si>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</si>
  <si>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</si>
  <si>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</si>
  <si>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</si>
  <si>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</si>
  <si>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</si>
  <si>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</si>
  <si>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</si>
  <si>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</si>
  <si>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</si>
  <si>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</si>
  <si>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</si>
  <si>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</si>
  <si>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</si>
  <si>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</si>
  <si>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</si>
  <si>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</si>
  <si>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</si>
  <si>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</si>
  <si>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</si>
  <si>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</si>
  <si>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</si>
  <si>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</si>
  <si>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</si>
  <si>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</si>
  <si>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</si>
  <si>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</si>
  <si>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</si>
  <si>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</si>
  <si>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</si>
  <si>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</si>
  <si>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</si>
  <si>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</si>
  <si>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</si>
  <si>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</si>
  <si>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</si>
  <si>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</si>
  <si>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</si>
  <si>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</si>
  <si>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</si>
  <si>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</si>
  <si>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</si>
  <si>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</si>
  <si>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</si>
  <si>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</si>
  <si>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</si>
  <si>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</si>
  <si>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</si>
  <si>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</si>
  <si>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</si>
  <si>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</si>
  <si>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</si>
  <si>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</si>
  <si>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</si>
  <si>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</si>
  <si>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</si>
  <si>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</si>
  <si>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</si>
  <si>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</si>
  <si>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</si>
  <si>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</si>
  <si>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</si>
  <si>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</si>
  <si>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</si>
  <si>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</si>
  <si>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</si>
  <si>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</si>
  <si>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</si>
  <si>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</si>
  <si>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</si>
  <si>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</si>
  <si>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</si>
  <si>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</si>
  <si>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</si>
  <si>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</si>
  <si>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</si>
  <si>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</si>
  <si>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</si>
  <si>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</si>
  <si>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</si>
  <si>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</si>
  <si>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</si>
  <si>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</si>
  <si>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</si>
  <si>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</si>
  <si>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</si>
  <si>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</si>
  <si>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</si>
  <si>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</si>
  <si>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</si>
  <si>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</si>
  <si>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</si>
  <si>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</si>
  <si>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</si>
  <si>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</si>
  <si>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</si>
  <si>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</si>
  <si>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</si>
  <si>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</si>
  <si>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</si>
  <si>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</si>
  <si>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</si>
  <si>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</si>
  <si>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</si>
  <si>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</si>
  <si>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</si>
  <si>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</si>
  <si>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</si>
  <si>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</si>
  <si>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</si>
  <si>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</si>
  <si>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</si>
  <si>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</si>
  <si>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</si>
  <si>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</si>
  <si>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</si>
  <si>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</si>
  <si>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</si>
  <si>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</si>
  <si>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</si>
  <si>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</si>
  <si>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</si>
  <si>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</si>
  <si>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</si>
  <si>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</si>
  <si>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</si>
  <si>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</si>
  <si>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</si>
  <si>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</si>
  <si>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</si>
  <si>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</si>
  <si>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</si>
  <si>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</si>
  <si>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</si>
  <si>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</si>
  <si>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</si>
  <si>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</si>
  <si>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</si>
  <si>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</si>
  <si>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</si>
  <si>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</si>
  <si>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</si>
  <si>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</si>
  <si>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</si>
  <si>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</si>
  <si>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</si>
  <si>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</si>
  <si>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</si>
  <si>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</si>
  <si>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</si>
  <si>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</si>
  <si>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</si>
  <si>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</si>
  <si>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</si>
  <si>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</si>
  <si>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</si>
  <si>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</si>
  <si>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</si>
  <si>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</si>
  <si>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</si>
  <si>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</si>
  <si>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</si>
  <si>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</si>
  <si>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</si>
  <si>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</si>
  <si>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</si>
  <si>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</si>
  <si>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</si>
  <si>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</si>
  <si>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</si>
  <si>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</si>
  <si>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</si>
  <si>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</si>
  <si>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</si>
  <si>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</si>
  <si>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</si>
  <si>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</si>
  <si>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</si>
  <si>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</si>
  <si>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</si>
  <si>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</si>
  <si>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</si>
  <si>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</si>
  <si>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</si>
  <si>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</si>
  <si>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</si>
  <si>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</si>
  <si>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</si>
  <si>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</si>
  <si>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</si>
  <si>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</si>
  <si>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</si>
  <si>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</si>
  <si>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</si>
  <si>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</si>
  <si>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</si>
  <si>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</si>
  <si>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</si>
  <si>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</si>
  <si>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</si>
  <si>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</si>
  <si>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</si>
  <si>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</si>
  <si>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</si>
  <si>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</si>
  <si>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</si>
  <si>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</si>
  <si>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</si>
  <si>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</si>
  <si>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</si>
  <si>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</si>
  <si>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</si>
  <si>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</si>
  <si>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</si>
  <si>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</si>
  <si>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</si>
  <si>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</si>
  <si>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</si>
  <si>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</si>
  <si>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</si>
  <si>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</si>
  <si>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</si>
  <si>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</si>
  <si>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</si>
  <si>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</si>
  <si>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</si>
  <si>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</si>
  <si>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</si>
  <si>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</si>
  <si>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</si>
  <si>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</si>
  <si>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</si>
  <si>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</si>
  <si>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</si>
  <si>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</si>
  <si>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</si>
  <si>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</si>
  <si>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</si>
  <si>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</si>
  <si>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</si>
  <si>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</si>
  <si>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</si>
  <si>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</si>
  <si>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</si>
  <si>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</si>
  <si>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</si>
  <si>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</si>
  <si>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</si>
  <si>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</si>
  <si>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</si>
  <si>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</si>
  <si>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</si>
  <si>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</si>
  <si>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</si>
  <si>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</si>
  <si>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</si>
  <si>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</si>
  <si>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</si>
  <si>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</si>
  <si>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</si>
  <si>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</si>
  <si>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</si>
  <si>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</si>
  <si>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</si>
  <si>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</si>
  <si>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</si>
  <si>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</si>
  <si>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</si>
  <si>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</si>
  <si>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</si>
  <si>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</si>
  <si>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</si>
  <si>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</si>
  <si>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</si>
  <si>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</si>
  <si>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</si>
  <si>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</si>
  <si>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</si>
  <si>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</si>
  <si>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</si>
  <si>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</si>
  <si>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</si>
  <si>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</si>
  <si>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</si>
  <si>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</si>
  <si>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</si>
  <si>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</si>
  <si>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</si>
  <si>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</si>
  <si>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</si>
  <si>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</si>
  <si>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</si>
  <si>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</si>
  <si>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</si>
  <si>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</si>
  <si>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</si>
  <si>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</si>
  <si>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</si>
  <si>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</si>
  <si>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</si>
  <si>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</si>
  <si>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</si>
  <si>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</si>
  <si>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</si>
  <si>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</si>
  <si>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</si>
  <si>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</si>
  <si>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</si>
  <si>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</si>
  <si>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</si>
  <si>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</si>
  <si>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</si>
  <si>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</si>
  <si>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</si>
  <si>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</si>
  <si>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</si>
  <si>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</si>
  <si>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</si>
  <si>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</si>
  <si>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</si>
  <si>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</si>
  <si>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</si>
  <si>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</si>
  <si>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</si>
  <si>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</si>
  <si>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</si>
  <si>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</si>
  <si>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</si>
  <si>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</si>
  <si>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</si>
  <si>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</si>
  <si>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</si>
  <si>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</si>
  <si>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</si>
  <si>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</si>
  <si>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</si>
  <si>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</si>
  <si>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</si>
  <si>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</si>
  <si>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</si>
  <si>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</si>
  <si>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</si>
  <si>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</si>
  <si>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</si>
  <si>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</si>
  <si>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</si>
  <si>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</si>
  <si>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</si>
  <si>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</si>
  <si>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</si>
  <si>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</si>
  <si>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</si>
  <si>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</si>
  <si>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</si>
  <si>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</si>
  <si>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</si>
  <si>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</si>
  <si>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</si>
  <si>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</si>
  <si>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</si>
  <si>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</si>
  <si>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</si>
  <si>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</si>
  <si>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</si>
  <si>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</si>
  <si>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</si>
  <si>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</si>
  <si>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</si>
  <si>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</si>
  <si>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</si>
  <si>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</si>
  <si>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</si>
  <si>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</si>
  <si>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</si>
  <si>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</si>
  <si>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</si>
  <si>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</si>
  <si>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</si>
  <si>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</si>
  <si>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</si>
  <si>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</si>
  <si>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</si>
  <si>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</si>
  <si>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</si>
  <si>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</si>
  <si>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</si>
  <si>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</si>
  <si>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</si>
  <si>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</si>
  <si>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</si>
  <si>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</si>
  <si>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</si>
  <si>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</si>
  <si>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</si>
  <si>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</si>
  <si>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</si>
  <si>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</si>
  <si>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</si>
  <si>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</si>
  <si>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</si>
  <si>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</si>
  <si>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</si>
  <si>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</si>
  <si>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</si>
  <si>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</si>
  <si>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</si>
  <si>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</si>
  <si>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</si>
  <si>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</si>
  <si>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</si>
  <si>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</si>
  <si>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</si>
  <si>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</si>
  <si>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</si>
  <si>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</si>
  <si>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</si>
  <si>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</si>
  <si>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</si>
  <si>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</si>
  <si>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</si>
  <si>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</si>
  <si>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</si>
  <si>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</si>
  <si>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</si>
  <si>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</si>
  <si>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</si>
  <si>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</si>
  <si>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</si>
  <si>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</si>
  <si>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</si>
  <si>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</si>
  <si>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</si>
  <si>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</si>
  <si>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</si>
  <si>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</si>
  <si>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</si>
  <si>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</si>
  <si>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</si>
  <si>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</si>
  <si>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</si>
  <si>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</si>
  <si>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</si>
  <si>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</si>
  <si>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</si>
  <si>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</si>
  <si>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</si>
  <si>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</si>
  <si>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</si>
  <si>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</si>
  <si>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</si>
  <si>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</si>
  <si>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</si>
  <si>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</si>
  <si>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</si>
  <si>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</si>
  <si>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</si>
  <si>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</si>
  <si>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</si>
  <si>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</si>
  <si>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</si>
  <si>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</si>
  <si>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</si>
  <si>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</si>
  <si>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</si>
  <si>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</si>
  <si>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</si>
  <si>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</si>
  <si>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</si>
  <si>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</si>
  <si>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</si>
  <si>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</si>
  <si>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</si>
  <si>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</si>
  <si>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</si>
  <si>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</si>
  <si>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</si>
  <si>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</si>
  <si>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</si>
  <si>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</si>
  <si>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</si>
  <si>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</si>
  <si>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</si>
  <si>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</si>
  <si>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</si>
  <si>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</si>
  <si>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</si>
  <si>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</si>
  <si>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</si>
  <si>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</si>
  <si>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</si>
  <si>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</si>
  <si>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</si>
  <si>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</si>
  <si>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</si>
  <si>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</si>
  <si>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</si>
  <si>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</si>
  <si>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</si>
  <si>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</si>
  <si>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</si>
  <si>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</si>
  <si>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</si>
  <si>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</si>
  <si>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</si>
  <si>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</si>
  <si>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</si>
  <si>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</si>
  <si>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</si>
  <si>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</si>
  <si>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</si>
  <si>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</si>
  <si>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</si>
  <si>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</si>
  <si>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</si>
  <si>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</si>
  <si>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</si>
  <si>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</si>
  <si>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</si>
  <si>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</si>
  <si>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</si>
  <si>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</si>
  <si>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</si>
  <si>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</si>
  <si>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</si>
  <si>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</si>
  <si>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</si>
  <si>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</si>
  <si>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</si>
  <si>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</si>
  <si>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</si>
  <si>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</si>
  <si>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</si>
  <si>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</si>
  <si>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</si>
  <si>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</si>
  <si>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</si>
  <si>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</si>
  <si>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</si>
  <si>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</si>
  <si>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</si>
  <si>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</si>
  <si>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</si>
  <si>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</si>
  <si>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</si>
  <si>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</si>
  <si>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</si>
  <si>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</si>
  <si>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</si>
  <si>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</si>
  <si>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</si>
  <si>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</si>
  <si>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</si>
  <si>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</si>
  <si>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</si>
  <si>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</si>
  <si>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</si>
  <si>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</si>
  <si>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</si>
  <si>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</si>
  <si>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</si>
  <si>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</si>
  <si>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</si>
  <si>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</si>
  <si>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</si>
  <si>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</si>
  <si>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</si>
  <si>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</si>
  <si>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</si>
  <si>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</si>
  <si>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</si>
  <si>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</si>
  <si>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</si>
  <si>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</si>
  <si>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</si>
  <si>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</si>
  <si>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</si>
  <si>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</si>
  <si>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</si>
  <si>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</si>
  <si>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</si>
  <si>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</si>
  <si>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</si>
  <si>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</si>
  <si>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</si>
  <si>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</si>
  <si>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</si>
  <si>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</si>
  <si>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</si>
  <si>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</si>
  <si>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</si>
  <si>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</si>
  <si>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</si>
  <si>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</si>
  <si>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</si>
  <si>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</si>
  <si>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</si>
  <si>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</si>
  <si>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</si>
  <si>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</si>
  <si>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</si>
  <si>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</si>
  <si>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</si>
  <si>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</si>
  <si>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</si>
  <si>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</si>
  <si>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</si>
  <si>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</si>
  <si>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</si>
  <si>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</si>
  <si>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</si>
  <si>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</si>
  <si>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</si>
  <si>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</si>
  <si>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</si>
  <si>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</si>
  <si>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</si>
  <si>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</si>
  <si>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</si>
  <si>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</si>
  <si>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</si>
  <si>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</si>
  <si>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</si>
  <si>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</si>
  <si>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</si>
  <si>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</si>
  <si>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</si>
  <si>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</si>
  <si>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</si>
  <si>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</si>
  <si>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</si>
  <si>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</si>
  <si>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</si>
  <si>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</si>
  <si>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</si>
  <si>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</si>
  <si>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</si>
  <si>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</si>
  <si>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</si>
  <si>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</si>
  <si>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</si>
  <si>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</si>
  <si>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</si>
  <si>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</si>
  <si>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</si>
  <si>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</si>
  <si>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</si>
  <si>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</si>
  <si>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</si>
  <si>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</si>
  <si>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</si>
  <si>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</si>
  <si>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</si>
  <si>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</si>
  <si>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</si>
  <si>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</si>
  <si>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</si>
  <si>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</si>
  <si>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</si>
  <si>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</si>
  <si>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</si>
  <si>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</si>
  <si>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</si>
  <si>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</si>
  <si>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</si>
  <si>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</si>
  <si>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</si>
  <si>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</si>
  <si>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</si>
  <si>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</si>
  <si>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</si>
  <si>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</si>
  <si>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</si>
  <si>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</si>
  <si>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</si>
  <si>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</si>
  <si>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</si>
  <si>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</si>
  <si>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</si>
  <si>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</si>
  <si>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</si>
  <si>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</si>
  <si>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</si>
  <si>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</si>
  <si>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</si>
  <si>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</si>
  <si>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</si>
  <si>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</si>
  <si>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</si>
  <si>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</si>
  <si>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</si>
  <si>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</si>
  <si>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</si>
  <si>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</si>
  <si>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</si>
  <si>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</si>
  <si>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</si>
  <si>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</si>
  <si>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</si>
  <si>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</si>
  <si>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</si>
  <si>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</si>
  <si>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</si>
  <si>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</si>
  <si>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</si>
  <si>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</si>
  <si>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</si>
  <si>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</si>
  <si>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</si>
  <si>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</si>
  <si>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</si>
  <si>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</si>
  <si>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</si>
  <si>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</si>
  <si>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</si>
  <si>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</si>
  <si>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</si>
  <si>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</si>
  <si>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</si>
  <si>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</si>
  <si>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</si>
  <si>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</si>
  <si>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</si>
  <si>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</si>
  <si>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</si>
  <si>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</si>
  <si>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</si>
  <si>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</si>
  <si>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</si>
  <si>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</si>
  <si>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</si>
  <si>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</si>
  <si>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</si>
  <si>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</si>
  <si>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</si>
  <si>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</si>
  <si>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</si>
  <si>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</si>
  <si>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</si>
  <si>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</si>
  <si>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</si>
  <si>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</si>
  <si>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</si>
  <si>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</si>
  <si>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</si>
  <si>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</si>
  <si>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</si>
  <si>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</si>
  <si>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</si>
  <si>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</si>
  <si>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</si>
  <si>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</si>
  <si>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</si>
  <si>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</si>
  <si>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</si>
  <si>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</si>
  <si>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</si>
  <si>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</si>
  <si>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</si>
  <si>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</si>
  <si>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</si>
  <si>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</si>
  <si>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</si>
  <si>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</si>
  <si>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</si>
  <si>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</si>
  <si>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</si>
  <si>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</si>
  <si>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</si>
  <si>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</si>
  <si>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</si>
  <si>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</si>
  <si>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</si>
  <si>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</si>
  <si>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</si>
  <si>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</si>
  <si>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</si>
  <si>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</si>
  <si>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</si>
  <si>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</si>
  <si>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</si>
  <si>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</si>
  <si>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</si>
  <si>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</si>
  <si>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</si>
  <si>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</si>
  <si>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</si>
  <si>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</si>
  <si>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</si>
  <si>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</si>
  <si>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</si>
  <si>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</si>
  <si>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</si>
  <si>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</si>
  <si>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</si>
  <si>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</si>
  <si>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</si>
  <si>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</si>
  <si>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</si>
  <si>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</si>
  <si>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</si>
  <si>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</si>
  <si>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</si>
  <si>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</si>
  <si>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</si>
  <si>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</si>
  <si>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</si>
  <si>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</si>
  <si>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</si>
  <si>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</si>
  <si>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</si>
  <si>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</si>
  <si>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</si>
  <si>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</si>
  <si>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</si>
  <si>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</si>
  <si>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</si>
  <si>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</si>
  <si>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</si>
  <si>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</si>
  <si>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</si>
  <si>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</si>
  <si>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</si>
  <si>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</si>
  <si>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</si>
  <si>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</si>
  <si>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</si>
  <si>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</si>
  <si>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</si>
  <si>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</si>
  <si>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</si>
  <si>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</si>
  <si>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</si>
  <si>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</si>
  <si>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</si>
  <si>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</si>
  <si>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</si>
  <si>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</si>
  <si>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</si>
  <si>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</si>
  <si>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</si>
  <si>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</si>
  <si>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</si>
  <si>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</si>
  <si>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</si>
  <si>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</si>
  <si>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</si>
  <si>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</si>
  <si>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</si>
  <si>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</si>
  <si>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</si>
  <si>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</si>
  <si>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</si>
  <si>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</si>
  <si>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</si>
  <si>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</si>
  <si>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</si>
  <si>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</si>
  <si>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</si>
  <si>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</si>
  <si>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</si>
  <si>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</si>
  <si>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</si>
  <si>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</si>
  <si>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</si>
  <si>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</si>
  <si>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</si>
  <si>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</si>
  <si>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</si>
  <si>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</si>
  <si>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</si>
  <si>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</si>
  <si>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</si>
  <si>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</si>
  <si>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</si>
  <si>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</si>
  <si>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</si>
  <si>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</si>
  <si>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</si>
  <si>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</si>
  <si>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</si>
  <si>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</si>
  <si>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</si>
  <si>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</si>
  <si>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</si>
  <si>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</si>
  <si>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</si>
  <si>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</si>
  <si>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</si>
  <si>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</si>
  <si>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</si>
  <si>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</si>
  <si>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</si>
  <si>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</si>
  <si>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</si>
  <si>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</si>
  <si>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</si>
  <si>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</si>
  <si>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</si>
  <si>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</si>
  <si>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</si>
  <si>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</si>
  <si>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</si>
  <si>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</si>
  <si>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</si>
  <si>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</si>
  <si>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</si>
  <si>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</si>
  <si>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</si>
  <si>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</si>
  <si>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</si>
  <si>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</si>
  <si>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</si>
  <si>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</si>
  <si>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</si>
  <si>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</si>
  <si>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</si>
  <si>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</si>
  <si>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</si>
  <si>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</si>
  <si>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</si>
  <si>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</si>
  <si>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</si>
  <si>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</si>
  <si>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</si>
  <si>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</si>
  <si>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</si>
  <si>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</si>
  <si>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</si>
  <si>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</si>
  <si>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</si>
  <si>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</si>
  <si>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</si>
  <si>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</si>
  <si>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</si>
  <si>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</si>
  <si>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</si>
  <si>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</si>
  <si>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</si>
  <si>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</si>
  <si>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</si>
  <si>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</si>
  <si>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</si>
  <si>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</si>
  <si>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</si>
  <si>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</si>
  <si>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</si>
  <si>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</si>
  <si>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</si>
  <si>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</si>
  <si>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</si>
  <si>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</si>
  <si>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</si>
  <si>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</si>
  <si>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</si>
  <si>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</si>
  <si>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</si>
  <si>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</si>
  <si>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</si>
  <si>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</si>
  <si>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</si>
  <si>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</si>
  <si>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</si>
  <si>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</si>
  <si>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</si>
  <si>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</si>
  <si>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</si>
  <si>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</si>
  <si>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</si>
  <si>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</si>
  <si>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</si>
  <si>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</si>
  <si>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</si>
  <si>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</si>
  <si>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</si>
  <si>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</si>
  <si>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</si>
  <si>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</si>
  <si>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</si>
  <si>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</si>
  <si>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</si>
  <si>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</si>
  <si>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</si>
  <si>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</si>
  <si>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</si>
  <si>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</si>
  <si>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</si>
  <si>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</si>
  <si>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</si>
  <si>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</si>
  <si>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</si>
  <si>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</si>
  <si>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</si>
  <si>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</si>
  <si>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</si>
  <si>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</si>
  <si>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</si>
  <si>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</si>
  <si>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</si>
  <si>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</si>
  <si>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</si>
  <si>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</si>
  <si>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</si>
  <si>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</si>
  <si>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</si>
  <si>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</si>
  <si>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</si>
  <si>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</si>
  <si>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</si>
  <si>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</si>
  <si>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</si>
  <si>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</si>
  <si>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</si>
  <si>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</si>
  <si>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</si>
  <si>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</si>
  <si>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</si>
  <si>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</si>
  <si>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</si>
  <si>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</si>
  <si>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</si>
  <si>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</si>
  <si>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</si>
  <si>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</si>
  <si>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</si>
  <si>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</si>
  <si>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</si>
  <si>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</si>
  <si>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ＭＳ Ｐゴシック"/>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</si>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</sst>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0.0"/>
    <numFmt numFmtId="183" formatCode="_-&quot;$&quot;* #,##0_-;\-&quot;$&quot;* #,##0_-;_-&quot;$&quot;* &quot;-&quot;_-;_-@_-"/>
    <numFmt numFmtId="184" formatCode="_-* #,##0_-;\-* #,##0_-;_-* &quot;-&quot;_-;_-@_-"/>
    <numFmt numFmtId="185" formatCode="_-&quot;$&quot;* #,##0.00_-;\-&quot;$&quot;* #,##0.00_-;_-&quot;$&quot;* &quot;-&quot;??_-;_-@_-"/>
    <numFmt numFmtId="186" formatCode="_-* #,##0.00_-;\-* #,##0.00_-;_-* &quot;-&quot;??_-;_-@_-"/>
    <numFmt numFmtId="187" formatCode="_-* #,##0\ &quot;€&quot;_-;\-* #,##0\ &quot;€&quot;_-;_-* &quot;-&quot;\ &quot;€&quot;_-;_-@_-"/>
    <numFmt numFmtId="188" formatCode="_-* #,##0\ _€_-;\-* #,##0\ _€_-;_-* &quot;-&quot;\ _€_-;_-@_-"/>
    <numFmt numFmtId="189" formatCode="_-* #,##0.00\ &quot;€&quot;_-;\-* #,##0.00\ &quot;€&quot;_-;_-* &quot;-&quot;??\ &quot;€&quot;_-;_-@_-"/>
    <numFmt numFmtId="190" formatCode="_-* #,##0.00\ _€_-;\-* #,##0.00\ _€_-;_-* &quot;-&quot;??\ _€_-;_-@_-"/>
    <numFmt numFmtId="191" formatCode="_-&quot;€&quot;\ * #,##0_-;\-&quot;€&quot;\ * #,##0_-;_-&quot;€&quot;\ * &quot;-&quot;_-;_-@_-"/>
    <numFmt numFmtId="192" formatCode="_-&quot;€&quot;\ * #,##0.00_-;\-&quot;€&quot;\ * #,##0.00_-;_-&quot;€&quot;\ * &quot;-&quot;??_-;_-@_-"/>
  </numFmts>
  <fonts count="104">
    <font>
      <sz val="10"/>
      <name val="Verdana"/>
      <family val="2"/>
    </font>
    <font>
      <sz val="11"/>
      <color theme="1"/>
      <name val="ＭＳ Ｐゴシック"/>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ＭＳ Ｐゴシック"/>
      <family val="3"/>
      <charset val="128"/>
      <scheme val="minor"/>
    </font>
    <font>
      <sz val="11"/>
      <color theme="0"/>
      <name val="ＭＳ Ｐゴシック"/>
      <family val="3"/>
      <charset val="128"/>
      <scheme val="minor"/>
    </font>
    <font>
      <sz val="11"/>
      <color rgb="FF9C0006"/>
      <name val="ＭＳ Ｐゴシック"/>
      <family val="3"/>
      <charset val="128"/>
    </font>
    <font>
      <sz val="11"/>
      <color rgb="FF9C0006"/>
      <name val="ＭＳ Ｐゴシック"/>
      <family val="3"/>
      <charset val="128"/>
      <scheme val="minor"/>
    </font>
    <font>
      <b/>
      <sz val="11"/>
      <color rgb="FFFA7D00"/>
      <name val="ＭＳ Ｐゴシック"/>
      <family val="3"/>
      <charset val="128"/>
      <scheme val="minor"/>
    </font>
    <font>
      <b/>
      <sz val="11"/>
      <color theme="0"/>
      <name val="ＭＳ Ｐゴシック"/>
      <family val="3"/>
      <charset val="128"/>
      <scheme val="minor"/>
    </font>
    <font>
      <i/>
      <sz val="11"/>
      <color rgb="FF7F7F7F"/>
      <name val="ＭＳ Ｐゴシック"/>
      <family val="3"/>
      <charset val="128"/>
      <scheme val="minor"/>
    </font>
    <font>
      <sz val="11"/>
      <color rgb="FF0061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u/>
      <sz val="10"/>
      <color theme="10"/>
      <name val="Arial"/>
      <family val="2"/>
    </font>
    <font>
      <u/>
      <sz val="11"/>
      <color theme="10"/>
      <name val="ＭＳ Ｐゴシック"/>
      <family val="3"/>
      <charset val="128"/>
      <scheme val="minor"/>
    </font>
    <font>
      <u/>
      <sz val="12"/>
      <color theme="10"/>
      <name val="ＭＳ Ｐゴシック"/>
      <family val="3"/>
      <charset val="128"/>
      <scheme val="minor"/>
    </font>
    <font>
      <sz val="11"/>
      <color rgb="FF3F3F76"/>
      <name val="ＭＳ Ｐゴシック"/>
      <family val="3"/>
      <charset val="128"/>
      <scheme val="minor"/>
    </font>
    <font>
      <sz val="11"/>
      <color rgb="FFFA7D00"/>
      <name val="ＭＳ Ｐゴシック"/>
      <family val="3"/>
      <charset val="128"/>
      <scheme val="minor"/>
    </font>
    <font>
      <sz val="11"/>
      <color rgb="FF9C6500"/>
      <name val="ＭＳ Ｐゴシック"/>
      <family val="3"/>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scheme val="minor"/>
    </font>
    <font>
      <b/>
      <sz val="11"/>
      <color rgb="FF3F3F3F"/>
      <name val="ＭＳ Ｐゴシック"/>
      <family val="3"/>
      <charset val="128"/>
      <scheme val="minor"/>
    </font>
    <font>
      <sz val="18"/>
      <color theme="3"/>
      <name val="ＭＳ Ｐゴシック"/>
      <family val="3"/>
      <charset val="128"/>
      <scheme val="major"/>
    </font>
    <font>
      <b/>
      <sz val="11"/>
      <color theme="1"/>
      <name val="ＭＳ Ｐゴシック"/>
      <family val="3"/>
      <charset val="128"/>
      <scheme val="minor"/>
    </font>
    <font>
      <sz val="11"/>
      <color rgb="FFFF0000"/>
      <name val="ＭＳ Ｐゴシック"/>
      <family val="3"/>
      <charset val="128"/>
      <scheme val="minor"/>
    </font>
    <font>
      <sz val="10"/>
      <color theme="1"/>
      <name val="Verdana"/>
      <family val="2"/>
    </font>
    <font>
      <sz val="10"/>
      <color theme="0" tint="-0.34995574816125979"/>
      <name val="Verdana"/>
      <family val="2"/>
    </font>
    <font>
      <sz val="11"/>
      <name val="ＭＳ Ｐゴシック"/>
      <family val="3"/>
      <charset val="128"/>
      <scheme val="minor"/>
    </font>
    <font>
      <sz val="10"/>
      <color rgb="FFFF0000"/>
      <name val="Verdana"/>
      <family val="2"/>
    </font>
    <font>
      <u/>
      <sz val="10"/>
      <color indexed="12"/>
      <name val="ＭＳ Ｐゴシック"/>
      <family val="3"/>
      <charset val="128"/>
      <scheme val="major"/>
    </font>
    <font>
      <sz val="10"/>
      <name val="ＭＳ Ｐゴシック"/>
      <family val="3"/>
      <charset val="128"/>
      <scheme val="major"/>
    </font>
    <font>
      <u/>
      <sz val="12"/>
      <color indexed="12"/>
      <name val="ＭＳ Ｐゴシック"/>
      <family val="3"/>
      <charset val="128"/>
      <scheme val="major"/>
    </font>
    <font>
      <sz val="12"/>
      <name val="ＭＳ Ｐゴシック"/>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ＭＳ Ｐゴシック"/>
      <family val="3"/>
      <charset val="128"/>
      <scheme val="minor"/>
    </font>
    <font>
      <sz val="12"/>
      <name val="Arial"/>
      <family val="2"/>
    </font>
    <font>
      <sz val="11"/>
      <name val="ＭＳ Ｐゴシック"/>
      <family val="2"/>
    </font>
    <font>
      <sz val="11"/>
      <color rgb="FF000000"/>
      <name val="Calibri"/>
      <family val="2"/>
    </font>
    <font>
      <sz val="11"/>
      <name val="ＭＳ Ｐゴシック"/>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
      <sz val="6"/>
      <name val="ＭＳ Ｐゴシック"/>
      <family val="3"/>
      <charset val="128"/>
    </font>
    <font>
      <sz val="10"/>
      <name val="ＭＳ Ｐゴシック"/>
      <family val="2"/>
      <charset val="128"/>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77" fontId="10" fillId="0" borderId="0" applyFont="0" applyFill="0" applyBorder="0" applyAlignment="0" applyProtection="0"/>
    <xf numFmtId="184" fontId="10" fillId="0" borderId="0" applyFont="0" applyFill="0" applyBorder="0" applyAlignment="0" applyProtection="0"/>
    <xf numFmtId="188"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6" fontId="10" fillId="0" borderId="0" applyFont="0" applyFill="0" applyBorder="0" applyAlignment="0" applyProtection="0"/>
    <xf numFmtId="183" fontId="10" fillId="0" borderId="0" applyFont="0" applyFill="0" applyBorder="0" applyAlignment="0" applyProtection="0"/>
    <xf numFmtId="187" fontId="10" fillId="0" borderId="0" applyFont="0" applyFill="0" applyBorder="0" applyAlignment="0" applyProtection="0"/>
    <xf numFmtId="191"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0" fontId="2" fillId="0" borderId="0"/>
    <xf numFmtId="0" fontId="90" fillId="0" borderId="0"/>
    <xf numFmtId="0" fontId="90" fillId="0" borderId="0"/>
    <xf numFmtId="18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0" fontId="2" fillId="0" borderId="0"/>
    <xf numFmtId="0" fontId="7" fillId="0" borderId="0"/>
    <xf numFmtId="180" fontId="90" fillId="0" borderId="0"/>
    <xf numFmtId="0" fontId="55" fillId="0" borderId="0"/>
    <xf numFmtId="0" fontId="55" fillId="0" borderId="0"/>
    <xf numFmtId="180" fontId="7" fillId="0" borderId="0"/>
    <xf numFmtId="0" fontId="55" fillId="0" borderId="0"/>
    <xf numFmtId="0" fontId="7" fillId="0" borderId="0"/>
    <xf numFmtId="0" fontId="55" fillId="0" borderId="0"/>
    <xf numFmtId="0" fontId="72" fillId="0" borderId="0">
      <alignment vertical="center"/>
    </xf>
    <xf numFmtId="18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80" fontId="2" fillId="0" borderId="0"/>
    <xf numFmtId="18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0" fontId="10" fillId="0" borderId="0"/>
    <xf numFmtId="0" fontId="90" fillId="0" borderId="0"/>
    <xf numFmtId="0" fontId="90" fillId="0" borderId="0"/>
    <xf numFmtId="0" fontId="90" fillId="0" borderId="0"/>
    <xf numFmtId="180" fontId="90" fillId="0" borderId="0"/>
    <xf numFmtId="0" fontId="1" fillId="0" borderId="0"/>
  </cellStyleXfs>
  <cellXfs count="400">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8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8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80" fontId="0" fillId="33" borderId="13" xfId="0" applyNumberFormat="1" applyFill="1" applyBorder="1" applyAlignment="1">
      <alignment vertical="top" wrapText="1"/>
    </xf>
    <xf numFmtId="180" fontId="0" fillId="33" borderId="0" xfId="0" applyNumberFormat="1" applyFill="1"/>
    <xf numFmtId="180" fontId="9" fillId="33" borderId="0" xfId="0" applyNumberFormat="1" applyFont="1" applyFill="1"/>
    <xf numFmtId="180" fontId="14" fillId="33" borderId="0" xfId="0" applyNumberFormat="1" applyFont="1" applyFill="1" applyAlignment="1">
      <alignment horizontal="center" vertical="center" wrapText="1"/>
    </xf>
    <xf numFmtId="180" fontId="11" fillId="33" borderId="0" xfId="0" applyNumberFormat="1" applyFont="1" applyFill="1" applyAlignment="1">
      <alignment horizontal="center" vertical="center"/>
    </xf>
    <xf numFmtId="180" fontId="27" fillId="33" borderId="20" xfId="570" applyNumberFormat="1" applyFont="1" applyFill="1" applyBorder="1" applyAlignment="1">
      <alignment horizontal="center" vertical="center" wrapText="1"/>
    </xf>
    <xf numFmtId="18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8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80" fontId="53" fillId="0" borderId="0" xfId="480" applyFont="1" applyAlignment="1">
      <alignment horizontal="left" vertical="top" wrapText="1"/>
    </xf>
    <xf numFmtId="18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8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8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8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8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49" fontId="103" fillId="0" borderId="19" xfId="0" applyNumberFormat="1" applyFont="1" applyBorder="1" applyProtection="1">
      <protection locked="0"/>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80" fontId="25" fillId="33" borderId="48" xfId="570" applyNumberFormat="1" applyFont="1" applyFill="1" applyBorder="1" applyAlignment="1">
      <alignment horizontal="center" vertical="top" wrapText="1"/>
    </xf>
    <xf numFmtId="180" fontId="25" fillId="33" borderId="49" xfId="570" applyNumberFormat="1" applyFont="1" applyFill="1" applyBorder="1" applyAlignment="1">
      <alignment horizontal="center" vertical="top" wrapText="1"/>
    </xf>
    <xf numFmtId="18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80" fontId="25" fillId="0" borderId="48" xfId="570" applyNumberFormat="1" applyFont="1" applyBorder="1" applyAlignment="1">
      <alignment horizontal="center" vertical="top" wrapText="1"/>
    </xf>
    <xf numFmtId="180" fontId="25" fillId="0" borderId="49" xfId="570" applyNumberFormat="1" applyFont="1" applyBorder="1" applyAlignment="1">
      <alignment horizontal="center" vertical="top" wrapText="1"/>
    </xf>
    <xf numFmtId="180"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81" fontId="14" fillId="33" borderId="34" xfId="0" applyNumberFormat="1" applyFont="1" applyFill="1" applyBorder="1" applyAlignment="1" applyProtection="1">
      <alignment horizontal="center" wrapText="1"/>
      <protection locked="0"/>
    </xf>
    <xf numFmtId="18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ハイパーリンク" xfId="487" builtinId="8"/>
    <cellStyle name="一般 7" xfId="588" xr:uid="{00000000-0005-0000-0000-00004C020000}"/>
    <cellStyle name="標準" xfId="0" builtinId="0"/>
    <cellStyle name="標準 2" xfId="589" xr:uid="{00000000-0005-0000-0000-00004D020000}"/>
    <cellStyle name="標準 2 2" xfId="590" xr:uid="{00000000-0005-0000-0000-00004E020000}"/>
    <cellStyle name="標準 2 3" xfId="591" xr:uid="{00000000-0005-0000-0000-00004F020000}"/>
    <cellStyle name="표준 2" xfId="587" xr:uid="{00000000-0005-0000-0000-00004B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297"/>
      <c r="B2" s="5" t="s">
        <v>818</v>
      </c>
      <c r="C2" s="3"/>
      <c r="D2" s="175"/>
      <c r="E2" s="3"/>
      <c r="F2" s="3"/>
      <c r="G2" s="25"/>
    </row>
    <row r="3" spans="1:7">
      <c r="A3" s="297"/>
      <c r="B3" s="3" t="s">
        <v>811</v>
      </c>
      <c r="C3" s="5"/>
      <c r="D3" s="176"/>
      <c r="E3" s="3"/>
      <c r="F3" s="5"/>
      <c r="G3" s="25"/>
    </row>
    <row r="4" spans="1:7" ht="15">
      <c r="A4" s="297"/>
      <c r="B4" s="30" t="s">
        <v>820</v>
      </c>
      <c r="C4" s="6"/>
      <c r="D4" s="177"/>
      <c r="E4" s="3"/>
      <c r="F4" s="6"/>
      <c r="G4" s="25"/>
    </row>
    <row r="5" spans="1:7">
      <c r="A5" s="297"/>
      <c r="B5" s="29" t="s">
        <v>1009</v>
      </c>
      <c r="C5" s="4"/>
      <c r="D5" s="178"/>
      <c r="E5" s="3"/>
      <c r="F5" s="4"/>
      <c r="G5" s="25"/>
    </row>
    <row r="6" spans="1:7">
      <c r="A6" s="297"/>
      <c r="B6" s="3"/>
      <c r="C6" s="3"/>
      <c r="D6" s="175"/>
      <c r="E6" s="3"/>
      <c r="F6" s="3"/>
      <c r="G6" s="25"/>
    </row>
    <row r="7" spans="1:7">
      <c r="A7" s="297"/>
      <c r="B7" s="3"/>
      <c r="C7" s="3"/>
      <c r="D7" s="175"/>
      <c r="E7" s="3"/>
      <c r="F7" s="3"/>
      <c r="G7" s="25"/>
    </row>
    <row r="8" spans="1:7">
      <c r="A8" s="297"/>
      <c r="B8" s="3"/>
      <c r="C8" s="3"/>
      <c r="D8" s="175"/>
      <c r="E8" s="3"/>
      <c r="F8" s="3"/>
      <c r="G8" s="25"/>
    </row>
    <row r="9" spans="1:7">
      <c r="A9" s="297"/>
      <c r="B9" s="300" t="s">
        <v>821</v>
      </c>
      <c r="C9" s="300"/>
      <c r="D9" s="300"/>
      <c r="E9" s="300"/>
      <c r="F9" s="300"/>
      <c r="G9" s="25"/>
    </row>
    <row r="10" spans="1:7" ht="27" customHeight="1">
      <c r="A10" s="297"/>
      <c r="B10" s="301" t="s">
        <v>425</v>
      </c>
      <c r="C10" s="301"/>
      <c r="D10" s="301"/>
      <c r="E10" s="301"/>
      <c r="F10" s="301"/>
      <c r="G10" s="25"/>
    </row>
    <row r="11" spans="1:7" ht="27" customHeight="1">
      <c r="A11" s="297"/>
      <c r="B11" s="302"/>
      <c r="C11" s="302"/>
      <c r="D11" s="302"/>
      <c r="E11" s="302"/>
      <c r="F11" s="302"/>
      <c r="G11" s="25"/>
    </row>
    <row r="12" spans="1:7">
      <c r="A12" s="297"/>
      <c r="B12" s="31" t="s">
        <v>819</v>
      </c>
      <c r="C12" s="32" t="s">
        <v>822</v>
      </c>
      <c r="D12" s="179" t="s">
        <v>823</v>
      </c>
      <c r="E12" s="32" t="s">
        <v>595</v>
      </c>
      <c r="F12" s="32" t="s">
        <v>596</v>
      </c>
      <c r="G12" s="25"/>
    </row>
    <row r="13" spans="1:7" ht="20">
      <c r="A13" s="297"/>
      <c r="B13" s="2">
        <v>1</v>
      </c>
      <c r="C13" s="27" t="s">
        <v>1057</v>
      </c>
      <c r="D13" s="28" t="s">
        <v>847</v>
      </c>
      <c r="E13" s="163" t="s">
        <v>824</v>
      </c>
      <c r="F13" s="163"/>
      <c r="G13" s="25"/>
    </row>
    <row r="14" spans="1:7" ht="30">
      <c r="A14" s="297"/>
      <c r="B14" s="2">
        <v>2</v>
      </c>
      <c r="C14" s="27" t="s">
        <v>1057</v>
      </c>
      <c r="D14" s="28" t="s">
        <v>994</v>
      </c>
      <c r="E14" s="163" t="s">
        <v>515</v>
      </c>
      <c r="F14" s="163" t="s">
        <v>516</v>
      </c>
      <c r="G14" s="25"/>
    </row>
    <row r="15" spans="1:7" ht="89.15" customHeight="1">
      <c r="A15" s="297"/>
      <c r="B15" s="303">
        <v>2.0099999999999998</v>
      </c>
      <c r="C15" s="294" t="s">
        <v>1057</v>
      </c>
      <c r="D15" s="306" t="s">
        <v>2198</v>
      </c>
      <c r="E15" s="164" t="s">
        <v>597</v>
      </c>
      <c r="F15" s="164" t="s">
        <v>600</v>
      </c>
      <c r="G15" s="25"/>
    </row>
    <row r="16" spans="1:7" ht="99" customHeight="1">
      <c r="A16" s="297"/>
      <c r="B16" s="304"/>
      <c r="C16" s="295"/>
      <c r="D16" s="307"/>
      <c r="E16" s="165"/>
      <c r="F16" s="165" t="s">
        <v>598</v>
      </c>
      <c r="G16" s="25"/>
    </row>
    <row r="17" spans="1:7" ht="63" customHeight="1">
      <c r="A17" s="297"/>
      <c r="B17" s="305"/>
      <c r="C17" s="296"/>
      <c r="D17" s="308"/>
      <c r="E17" s="27"/>
      <c r="F17" s="27" t="s">
        <v>599</v>
      </c>
      <c r="G17" s="25"/>
    </row>
    <row r="18" spans="1:7" ht="117" customHeight="1">
      <c r="A18" s="297"/>
      <c r="B18" s="303">
        <v>2.02</v>
      </c>
      <c r="C18" s="294" t="s">
        <v>1057</v>
      </c>
      <c r="D18" s="306" t="s">
        <v>2199</v>
      </c>
      <c r="E18" s="164" t="s">
        <v>426</v>
      </c>
      <c r="F18" s="164" t="s">
        <v>510</v>
      </c>
      <c r="G18" s="25"/>
    </row>
    <row r="19" spans="1:7" ht="71.150000000000006" customHeight="1">
      <c r="A19" s="297"/>
      <c r="B19" s="304"/>
      <c r="C19" s="295"/>
      <c r="D19" s="307"/>
      <c r="E19" s="165" t="s">
        <v>514</v>
      </c>
      <c r="F19" s="165" t="s">
        <v>427</v>
      </c>
      <c r="G19" s="25"/>
    </row>
    <row r="20" spans="1:7" ht="90.75" customHeight="1">
      <c r="A20" s="297"/>
      <c r="B20" s="304"/>
      <c r="C20" s="295"/>
      <c r="D20" s="307"/>
      <c r="E20" s="165"/>
      <c r="F20" s="165" t="s">
        <v>602</v>
      </c>
      <c r="G20" s="25"/>
    </row>
    <row r="21" spans="1:7" ht="74.25" customHeight="1">
      <c r="A21" s="297"/>
      <c r="B21" s="305"/>
      <c r="C21" s="296"/>
      <c r="D21" s="308"/>
      <c r="E21" s="27"/>
      <c r="F21" s="27" t="s">
        <v>601</v>
      </c>
      <c r="G21" s="25"/>
    </row>
    <row r="22" spans="1:7" ht="90" customHeight="1">
      <c r="A22" s="297"/>
      <c r="B22" s="312">
        <v>2.0299999999999998</v>
      </c>
      <c r="C22" s="312" t="s">
        <v>794</v>
      </c>
      <c r="D22" s="315" t="s">
        <v>2200</v>
      </c>
      <c r="E22" s="294" t="s">
        <v>424</v>
      </c>
      <c r="F22" s="164" t="s">
        <v>447</v>
      </c>
      <c r="G22" s="25"/>
    </row>
    <row r="23" spans="1:7" ht="109.5" customHeight="1">
      <c r="A23" s="297"/>
      <c r="B23" s="313"/>
      <c r="C23" s="313"/>
      <c r="D23" s="316"/>
      <c r="E23" s="295"/>
      <c r="F23" s="165" t="s">
        <v>795</v>
      </c>
      <c r="G23" s="25"/>
    </row>
    <row r="24" spans="1:7" ht="74.25" customHeight="1">
      <c r="A24" s="297"/>
      <c r="B24" s="314"/>
      <c r="C24" s="314"/>
      <c r="D24" s="317"/>
      <c r="E24" s="296"/>
      <c r="F24" s="27" t="s">
        <v>423</v>
      </c>
      <c r="G24" s="25"/>
    </row>
    <row r="25" spans="1:7" ht="72" customHeight="1">
      <c r="A25" s="297"/>
      <c r="B25" s="2" t="s">
        <v>445</v>
      </c>
      <c r="C25" s="27" t="s">
        <v>446</v>
      </c>
      <c r="D25" s="28" t="s">
        <v>2201</v>
      </c>
      <c r="E25" s="27" t="s">
        <v>2196</v>
      </c>
      <c r="F25" s="27" t="s">
        <v>448</v>
      </c>
      <c r="G25" s="25"/>
    </row>
    <row r="26" spans="1:7" ht="98.15" customHeight="1">
      <c r="A26" s="297"/>
      <c r="B26" s="309">
        <v>3</v>
      </c>
      <c r="C26" s="303" t="s">
        <v>66</v>
      </c>
      <c r="D26" s="306" t="s">
        <v>2202</v>
      </c>
      <c r="E26" s="294" t="s">
        <v>0</v>
      </c>
      <c r="F26" s="164" t="s">
        <v>60</v>
      </c>
      <c r="G26" s="25"/>
    </row>
    <row r="27" spans="1:7" ht="90" customHeight="1">
      <c r="A27" s="297"/>
      <c r="B27" s="310"/>
      <c r="C27" s="304"/>
      <c r="D27" s="307"/>
      <c r="E27" s="295"/>
      <c r="F27" s="165" t="s">
        <v>55</v>
      </c>
      <c r="G27" s="25"/>
    </row>
    <row r="28" spans="1:7" ht="19.399999999999999" customHeight="1">
      <c r="A28" s="297"/>
      <c r="B28" s="310"/>
      <c r="C28" s="304"/>
      <c r="D28" s="307"/>
      <c r="E28" s="295"/>
      <c r="F28" s="165" t="s">
        <v>56</v>
      </c>
      <c r="G28" s="25"/>
    </row>
    <row r="29" spans="1:7" ht="74.5" customHeight="1">
      <c r="A29" s="297"/>
      <c r="B29" s="310"/>
      <c r="C29" s="304"/>
      <c r="D29" s="307"/>
      <c r="E29" s="295"/>
      <c r="F29" s="165" t="s">
        <v>57</v>
      </c>
      <c r="G29" s="25"/>
    </row>
    <row r="30" spans="1:7" ht="62.5" customHeight="1">
      <c r="A30" s="297"/>
      <c r="B30" s="310"/>
      <c r="C30" s="304"/>
      <c r="D30" s="307"/>
      <c r="E30" s="295"/>
      <c r="F30" s="165" t="s">
        <v>58</v>
      </c>
      <c r="G30" s="25"/>
    </row>
    <row r="31" spans="1:7" ht="81" customHeight="1">
      <c r="A31" s="297"/>
      <c r="B31" s="310"/>
      <c r="C31" s="304"/>
      <c r="D31" s="307"/>
      <c r="E31" s="295"/>
      <c r="F31" s="165" t="s">
        <v>59</v>
      </c>
      <c r="G31" s="25"/>
    </row>
    <row r="32" spans="1:7" ht="48.75" customHeight="1">
      <c r="A32" s="297"/>
      <c r="B32" s="310"/>
      <c r="C32" s="304"/>
      <c r="D32" s="307"/>
      <c r="E32" s="295"/>
      <c r="F32" s="165" t="s">
        <v>62</v>
      </c>
      <c r="G32" s="25"/>
    </row>
    <row r="33" spans="1:7" ht="98.5" customHeight="1">
      <c r="A33" s="297"/>
      <c r="B33" s="310"/>
      <c r="C33" s="304"/>
      <c r="D33" s="307"/>
      <c r="E33" s="295"/>
      <c r="F33" s="165" t="s">
        <v>61</v>
      </c>
      <c r="G33" s="25"/>
    </row>
    <row r="34" spans="1:7" ht="89.15" customHeight="1">
      <c r="A34" s="297"/>
      <c r="B34" s="310"/>
      <c r="C34" s="304"/>
      <c r="D34" s="307"/>
      <c r="E34" s="295"/>
      <c r="F34" s="165" t="s">
        <v>63</v>
      </c>
      <c r="G34" s="25"/>
    </row>
    <row r="35" spans="1:7" ht="29.15" customHeight="1">
      <c r="A35" s="297"/>
      <c r="B35" s="310"/>
      <c r="C35" s="304"/>
      <c r="D35" s="307"/>
      <c r="E35" s="295"/>
      <c r="F35" s="165" t="s">
        <v>64</v>
      </c>
      <c r="G35" s="25"/>
    </row>
    <row r="36" spans="1:7" ht="111">
      <c r="A36" s="297"/>
      <c r="B36" s="311"/>
      <c r="C36" s="305"/>
      <c r="D36" s="308"/>
      <c r="E36" s="296"/>
      <c r="F36" s="166" t="s">
        <v>65</v>
      </c>
      <c r="G36" s="25"/>
    </row>
    <row r="37" spans="1:7" ht="100">
      <c r="A37" s="297"/>
      <c r="B37" s="141">
        <v>3.01</v>
      </c>
      <c r="C37" s="142" t="s">
        <v>66</v>
      </c>
      <c r="D37" s="28" t="s">
        <v>2203</v>
      </c>
      <c r="E37" s="167" t="s">
        <v>1294</v>
      </c>
      <c r="F37" s="168" t="s">
        <v>1396</v>
      </c>
      <c r="G37" s="25"/>
    </row>
    <row r="38" spans="1:7" ht="80">
      <c r="A38" s="297"/>
      <c r="B38" s="141">
        <v>3.02</v>
      </c>
      <c r="C38" s="142" t="s">
        <v>1326</v>
      </c>
      <c r="D38" s="28" t="s">
        <v>2204</v>
      </c>
      <c r="E38" s="167" t="s">
        <v>1341</v>
      </c>
      <c r="F38" s="168" t="s">
        <v>1397</v>
      </c>
      <c r="G38" s="25"/>
    </row>
    <row r="39" spans="1:7" ht="80">
      <c r="A39" s="297"/>
      <c r="B39" s="150">
        <v>4</v>
      </c>
      <c r="C39" s="149" t="s">
        <v>1492</v>
      </c>
      <c r="D39" s="28" t="s">
        <v>2205</v>
      </c>
      <c r="E39" s="27" t="s">
        <v>2151</v>
      </c>
      <c r="F39" s="27" t="s">
        <v>1493</v>
      </c>
      <c r="G39" s="25"/>
    </row>
    <row r="40" spans="1:7" ht="40">
      <c r="A40" s="297"/>
      <c r="B40" s="141">
        <v>4.01</v>
      </c>
      <c r="C40" s="149" t="s">
        <v>1492</v>
      </c>
      <c r="D40" s="28" t="s">
        <v>2207</v>
      </c>
      <c r="E40" s="27" t="s">
        <v>2163</v>
      </c>
      <c r="F40" s="27" t="s">
        <v>2167</v>
      </c>
      <c r="G40" s="25"/>
    </row>
    <row r="41" spans="1:7" ht="40">
      <c r="A41" s="297"/>
      <c r="B41" s="141" t="s">
        <v>2194</v>
      </c>
      <c r="C41" s="149" t="s">
        <v>1492</v>
      </c>
      <c r="D41" s="28" t="s">
        <v>2206</v>
      </c>
      <c r="E41" s="27" t="s">
        <v>2197</v>
      </c>
      <c r="F41" s="27" t="s">
        <v>2195</v>
      </c>
      <c r="G41" s="25"/>
    </row>
    <row r="42" spans="1:7" ht="40">
      <c r="A42" s="297"/>
      <c r="B42" s="141" t="s">
        <v>2228</v>
      </c>
      <c r="C42" s="149" t="s">
        <v>1492</v>
      </c>
      <c r="D42" s="28" t="s">
        <v>2233</v>
      </c>
      <c r="E42" s="27" t="s">
        <v>2196</v>
      </c>
      <c r="F42" s="27" t="s">
        <v>2229</v>
      </c>
      <c r="G42" s="25"/>
    </row>
    <row r="43" spans="1:7" ht="110">
      <c r="A43" s="297"/>
      <c r="B43" s="160">
        <v>4.0999999999999996</v>
      </c>
      <c r="C43" s="149" t="s">
        <v>2232</v>
      </c>
      <c r="D43" s="161">
        <v>42867</v>
      </c>
      <c r="E43" s="169" t="s">
        <v>2235</v>
      </c>
      <c r="F43" s="27" t="s">
        <v>2234</v>
      </c>
      <c r="G43" s="25"/>
    </row>
    <row r="44" spans="1:7" ht="70">
      <c r="A44" s="297"/>
      <c r="B44" s="160">
        <v>4.2</v>
      </c>
      <c r="C44" s="149" t="s">
        <v>2232</v>
      </c>
      <c r="D44" s="161">
        <v>42704</v>
      </c>
      <c r="E44" s="169" t="s">
        <v>2431</v>
      </c>
      <c r="F44" s="27" t="s">
        <v>2406</v>
      </c>
      <c r="G44" s="25"/>
    </row>
    <row r="45" spans="1:7" ht="130">
      <c r="A45" s="297"/>
      <c r="B45" s="202">
        <v>5</v>
      </c>
      <c r="C45" s="149" t="s">
        <v>2232</v>
      </c>
      <c r="D45" s="161">
        <v>42867</v>
      </c>
      <c r="E45" s="169" t="s">
        <v>12652</v>
      </c>
      <c r="F45" s="27" t="s">
        <v>12374</v>
      </c>
      <c r="G45" s="25"/>
    </row>
    <row r="46" spans="1:7" ht="30">
      <c r="A46" s="297"/>
      <c r="B46" s="160">
        <v>5.01</v>
      </c>
      <c r="C46" s="149" t="s">
        <v>2232</v>
      </c>
      <c r="D46" s="161">
        <v>42907</v>
      </c>
      <c r="E46" s="169" t="s">
        <v>15329</v>
      </c>
      <c r="F46" s="27" t="s">
        <v>12374</v>
      </c>
      <c r="G46" s="25"/>
    </row>
    <row r="47" spans="1:7" ht="60">
      <c r="A47" s="297"/>
      <c r="B47" s="160">
        <v>5.0999999999999996</v>
      </c>
      <c r="C47" s="149" t="s">
        <v>2232</v>
      </c>
      <c r="D47" s="161">
        <v>43070</v>
      </c>
      <c r="E47" s="169" t="s">
        <v>12862</v>
      </c>
      <c r="F47" s="27" t="s">
        <v>12863</v>
      </c>
      <c r="G47" s="25"/>
    </row>
    <row r="48" spans="1:7" ht="50">
      <c r="A48" s="297"/>
      <c r="B48" s="160">
        <v>5.1100000000000003</v>
      </c>
      <c r="C48" s="149" t="s">
        <v>13097</v>
      </c>
      <c r="D48" s="161">
        <v>43217</v>
      </c>
      <c r="E48" s="169" t="s">
        <v>13199</v>
      </c>
      <c r="F48" s="27" t="s">
        <v>13124</v>
      </c>
      <c r="G48" s="25"/>
    </row>
    <row r="49" spans="1:7" ht="50">
      <c r="A49" s="297"/>
      <c r="B49" s="160">
        <v>5.12</v>
      </c>
      <c r="C49" s="149" t="s">
        <v>13097</v>
      </c>
      <c r="D49" s="161">
        <v>43581</v>
      </c>
      <c r="E49" s="169" t="s">
        <v>13199</v>
      </c>
      <c r="F49" s="27" t="s">
        <v>13741</v>
      </c>
      <c r="G49" s="25"/>
    </row>
    <row r="50" spans="1:7" ht="70">
      <c r="A50" s="297"/>
      <c r="B50" s="202">
        <v>6</v>
      </c>
      <c r="C50" s="149" t="s">
        <v>13097</v>
      </c>
      <c r="D50" s="161">
        <v>43964</v>
      </c>
      <c r="E50" s="169" t="s">
        <v>13953</v>
      </c>
      <c r="F50" s="27" t="s">
        <v>13744</v>
      </c>
      <c r="G50" s="25"/>
    </row>
    <row r="51" spans="1:7" ht="40">
      <c r="A51" s="297"/>
      <c r="B51" s="160">
        <v>6.01</v>
      </c>
      <c r="C51" s="149" t="s">
        <v>13097</v>
      </c>
      <c r="D51" s="161">
        <v>43970</v>
      </c>
      <c r="E51" s="169" t="s">
        <v>15330</v>
      </c>
      <c r="F51" s="169" t="s">
        <v>13744</v>
      </c>
      <c r="G51" s="25"/>
    </row>
    <row r="52" spans="1:7" ht="40">
      <c r="A52" s="297"/>
      <c r="B52" s="160">
        <v>6.1</v>
      </c>
      <c r="C52" s="149" t="s">
        <v>13097</v>
      </c>
      <c r="D52" s="161">
        <v>44314</v>
      </c>
      <c r="E52" s="169" t="s">
        <v>15323</v>
      </c>
      <c r="F52" s="169" t="s">
        <v>14913</v>
      </c>
      <c r="G52" s="25"/>
    </row>
    <row r="53" spans="1:7" ht="40">
      <c r="A53" s="297"/>
      <c r="B53" s="160">
        <v>6.2</v>
      </c>
      <c r="C53" s="149" t="s">
        <v>13097</v>
      </c>
      <c r="D53" s="161">
        <v>44678</v>
      </c>
      <c r="E53" s="169" t="s">
        <v>15323</v>
      </c>
      <c r="F53" s="169" t="s">
        <v>15322</v>
      </c>
      <c r="G53" s="25"/>
    </row>
    <row r="54" spans="1:7" ht="40">
      <c r="A54" s="297"/>
      <c r="B54" s="160">
        <v>6.21</v>
      </c>
      <c r="C54" s="149" t="s">
        <v>13097</v>
      </c>
      <c r="D54" s="161">
        <v>44687</v>
      </c>
      <c r="E54" s="169" t="s">
        <v>15331</v>
      </c>
      <c r="F54" s="169" t="s">
        <v>15322</v>
      </c>
      <c r="G54" s="25"/>
    </row>
    <row r="55" spans="1:7" ht="40">
      <c r="A55" s="297"/>
      <c r="B55" s="160">
        <v>6.22</v>
      </c>
      <c r="C55" s="149" t="s">
        <v>13097</v>
      </c>
      <c r="D55" s="275">
        <v>44692</v>
      </c>
      <c r="E55" s="169" t="s">
        <v>15330</v>
      </c>
      <c r="F55" s="169" t="s">
        <v>15322</v>
      </c>
      <c r="G55" s="25"/>
    </row>
    <row r="56" spans="1:7" ht="50">
      <c r="A56" s="297"/>
      <c r="B56" s="202">
        <v>6.3</v>
      </c>
      <c r="C56" s="149" t="s">
        <v>13097</v>
      </c>
      <c r="D56" s="275">
        <v>45051</v>
      </c>
      <c r="E56" s="169" t="s">
        <v>15590</v>
      </c>
      <c r="F56" s="169" t="s">
        <v>15371</v>
      </c>
      <c r="G56" s="25"/>
    </row>
    <row r="57" spans="1:7" ht="40">
      <c r="A57" s="297"/>
      <c r="B57" s="160">
        <v>6.31</v>
      </c>
      <c r="C57" s="149" t="s">
        <v>13097</v>
      </c>
      <c r="D57" s="275">
        <v>45072</v>
      </c>
      <c r="E57" s="169" t="s">
        <v>15592</v>
      </c>
      <c r="F57" s="169" t="s">
        <v>15371</v>
      </c>
      <c r="G57" s="25"/>
    </row>
    <row r="58" spans="1:7" ht="40.5" customHeight="1">
      <c r="A58" s="297"/>
      <c r="B58" s="202">
        <v>6.4</v>
      </c>
      <c r="C58" s="149" t="s">
        <v>13097</v>
      </c>
      <c r="D58" s="275">
        <v>45408</v>
      </c>
      <c r="E58" s="169" t="s">
        <v>15594</v>
      </c>
      <c r="F58" s="169" t="s">
        <v>15593</v>
      </c>
      <c r="G58" s="25"/>
    </row>
    <row r="59" spans="1:7" ht="32.5" customHeight="1">
      <c r="A59" s="297"/>
      <c r="B59" s="202">
        <v>6.5</v>
      </c>
      <c r="C59" s="149" t="s">
        <v>13097</v>
      </c>
      <c r="D59" s="275">
        <v>45772</v>
      </c>
      <c r="E59" s="169" t="s">
        <v>15669</v>
      </c>
      <c r="F59" s="169" t="s">
        <v>15720</v>
      </c>
      <c r="G59" s="25"/>
    </row>
    <row r="60" spans="1:7" ht="14" thickBot="1">
      <c r="A60" s="298"/>
      <c r="B60" s="299" t="str">
        <f ca="1">OFFSET(L!$C$1,MATCH("General"&amp;"Cpy",L!$A:$A,0)-1,SL,,)</f>
        <v>© 2025 Responsible Minerals Initiative. All rights reserved.</v>
      </c>
      <c r="C60" s="299"/>
      <c r="D60" s="299"/>
      <c r="E60" s="299"/>
      <c r="F60" s="299"/>
      <c r="G60" s="26"/>
    </row>
    <row r="61" spans="1:7" ht="14"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s>
  <phoneticPr fontId="102"/>
  <pageMargins left="0.70866141732283472" right="0.70866141732283472" top="0.74803149606299213" bottom="0.74803149606299213" header="0.31496062992125984" footer="0.31496062992125984"/>
  <pageSetup scale="21"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2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15">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15">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1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15">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90">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4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3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30">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45">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2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2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0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05">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75">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phoneticPr fontId="102"/>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scale="34"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C8" sqref="C8"/>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8"/>
      <c r="B1" s="319"/>
      <c r="C1" s="319"/>
      <c r="D1" s="320"/>
    </row>
    <row r="2" spans="1:5" ht="71.25" customHeight="1">
      <c r="A2" s="74"/>
      <c r="B2" s="137" t="str">
        <f ca="1">OFFSET(L!$C$1,MATCH("Definitions"&amp;ADDRESS(ROW(),COLUMN(),4),L!$A:$A,0)-1,SL,,)</f>
        <v>ITEM</v>
      </c>
      <c r="C2" s="137" t="str">
        <f ca="1">OFFSET(L!$C$1,MATCH("Definitions"&amp;ADDRESS(ROW(),COLUMN(),4),L!$A:$A,0)-1,SL,,)</f>
        <v>DEFINITION</v>
      </c>
      <c r="D2" s="322"/>
      <c r="E2" s="101"/>
    </row>
    <row r="3" spans="1:5" ht="64" customHeight="1">
      <c r="A3" s="74"/>
      <c r="B3" s="63" t="str">
        <f ca="1">OFFSET(L!$C$1,MATCH("Definitions"&amp;ADDRESS(ROW(),COLUMN(),4),L!$A:$A,0)-1,SL,,)</f>
        <v>3TG</v>
      </c>
      <c r="C3" s="63" t="str">
        <f ca="1">OFFSET(L!$C$1,MATCH("Definitions"&amp;ADDRESS(ROW(),COLUMN(),4),L!$A:$A,0)-1,SL,,)</f>
        <v>Tantalum, tin, tungsten, gold</v>
      </c>
      <c r="D3" s="322"/>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2"/>
      <c r="E4" s="100"/>
    </row>
    <row r="5" spans="1:5" ht="3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2"/>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2"/>
      <c r="E6" s="100" t="s">
        <v>1279</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2"/>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2"/>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2"/>
      <c r="E9" s="100" t="s">
        <v>1279</v>
      </c>
    </row>
    <row r="10" spans="1:5" ht="45">
      <c r="A10" s="74"/>
      <c r="B10" s="63" t="str">
        <f ca="1">OFFSET(L!$C$1,MATCH("Definitions"&amp;ADDRESS(ROW(),COLUMN(),4),L!$A:$A,0)-1,SL,,)</f>
        <v>DRC</v>
      </c>
      <c r="C10" s="63" t="str">
        <f ca="1">OFFSET(L!$C$1,MATCH("Definitions"&amp;ADDRESS(ROW(),COLUMN(),4),L!$A:$A,0)-1,SL,,)</f>
        <v>Democratic Republic of Congo</v>
      </c>
      <c r="D10" s="322"/>
      <c r="E10" s="100" t="s">
        <v>1278</v>
      </c>
    </row>
    <row r="11" spans="1:5" ht="45"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2"/>
      <c r="E11" s="100" t="s">
        <v>1278</v>
      </c>
    </row>
    <row r="12" spans="1:5" ht="45">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2"/>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2"/>
      <c r="E13" s="100" t="s">
        <v>1280</v>
      </c>
    </row>
    <row r="14" spans="1:5" ht="150">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2"/>
      <c r="E14" s="100" t="s">
        <v>1278</v>
      </c>
    </row>
    <row r="15" spans="1:5" ht="7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2"/>
      <c r="E15" s="100" t="s">
        <v>1278</v>
      </c>
    </row>
    <row r="16" spans="1:5" ht="45">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2"/>
      <c r="E16" s="100" t="s">
        <v>1278</v>
      </c>
    </row>
    <row r="17" spans="1:5" ht="12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2"/>
      <c r="E17" s="100" t="s">
        <v>1278</v>
      </c>
    </row>
    <row r="18" spans="1:5" ht="9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2"/>
      <c r="E18" s="100" t="s">
        <v>1278</v>
      </c>
    </row>
    <row r="19" spans="1:5" ht="45">
      <c r="A19" s="74"/>
      <c r="B19" s="63" t="str">
        <f ca="1">OFFSET(L!$C$1,MATCH("Definitions"&amp;ADDRESS(ROW(),COLUMN(),4),L!$A:$A,0)-1,SL,,)</f>
        <v>OECD</v>
      </c>
      <c r="C19" s="63" t="str">
        <f ca="1">OFFSET(L!$C$1,MATCH("Definitions"&amp;ADDRESS(ROW(),COLUMN(),4),L!$A:$A,0)-1,SL,,)</f>
        <v>Organisation for Economic Co-operation and Development</v>
      </c>
      <c r="D19" s="322"/>
      <c r="E19" s="100"/>
    </row>
    <row r="20" spans="1:5" ht="1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2"/>
      <c r="E20" s="100"/>
    </row>
    <row r="21" spans="1:5" ht="30">
      <c r="A21" s="74"/>
      <c r="B21" s="63" t="str">
        <f ca="1">OFFSET(L!$C$1,MATCH("Definitions"&amp;ADDRESS(ROW(),COLUMN(),4),L!$A:$A,0)-1,SL,,)</f>
        <v>RBA</v>
      </c>
      <c r="C21" s="63" t="str">
        <f ca="1">OFFSET(L!$C$1,MATCH("Definitions"&amp;ADDRESS(ROW(),COLUMN(),4),L!$A:$A,0)-1,SL,,)</f>
        <v>Responsible Business Alliance (www.responsiblebusiness.org)</v>
      </c>
      <c r="D21" s="322"/>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2"/>
      <c r="E22" s="100"/>
    </row>
    <row r="23" spans="1:5" ht="45">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2"/>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2"/>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2"/>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2"/>
      <c r="E26" s="100" t="s">
        <v>1280</v>
      </c>
    </row>
    <row r="27" spans="1:5" ht="4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2"/>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2"/>
      <c r="E28" s="100" t="s">
        <v>1279</v>
      </c>
    </row>
    <row r="29" spans="1:5" ht="75">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2"/>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2"/>
      <c r="E30" s="100" t="s">
        <v>1281</v>
      </c>
    </row>
    <row r="31" spans="1:5" ht="133"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2"/>
      <c r="E31" s="100"/>
    </row>
    <row r="32" spans="1:5" ht="15">
      <c r="A32" s="74"/>
      <c r="B32" s="321" t="str">
        <f ca="1">OFFSET(L!$C$1,MATCH("General"&amp;"Cpy",L!$A:$A,0)-1,SL,,)</f>
        <v>© 2025 Responsible Minerals Initiative. All rights reserved.</v>
      </c>
      <c r="C32" s="321"/>
      <c r="D32" s="322"/>
      <c r="E32" s="100"/>
    </row>
    <row r="33" spans="1:4" ht="14" thickBot="1">
      <c r="A33" s="75"/>
      <c r="B33" s="153"/>
      <c r="C33" s="153"/>
      <c r="D33" s="323"/>
    </row>
    <row r="34" spans="1:4" ht="14"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honeticPr fontId="102"/>
  <pageMargins left="0.70866141732283472" right="0.70866141732283472" top="0.74803149606299213" bottom="0.74803149606299213" header="0.31496062992125984" footer="0.31496062992125984"/>
  <pageSetup scale="24"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55" zoomScaleNormal="55" zoomScalePageLayoutView="70" workbookViewId="0">
      <selection activeCell="D3" sqref="D3"/>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8.84375" hidden="1" customWidth="1"/>
  </cols>
  <sheetData>
    <row r="1" spans="1:34" ht="15.5" thickTop="1">
      <c r="A1" s="358"/>
      <c r="B1" s="359"/>
      <c r="C1" s="359"/>
      <c r="D1" s="359"/>
      <c r="E1" s="359"/>
      <c r="F1" s="359"/>
      <c r="G1" s="359"/>
      <c r="H1" s="359"/>
      <c r="I1" s="359"/>
      <c r="J1" s="359"/>
      <c r="K1" s="360"/>
      <c r="L1" s="100"/>
      <c r="P1" s="3"/>
      <c r="Q1" s="3"/>
      <c r="R1" s="3"/>
      <c r="S1" s="3"/>
      <c r="T1" s="3"/>
      <c r="U1" s="3"/>
      <c r="V1" s="3"/>
      <c r="W1" s="3"/>
      <c r="X1" s="3"/>
      <c r="Y1" s="3"/>
      <c r="Z1" s="3"/>
      <c r="AA1" s="3"/>
      <c r="AB1" s="3"/>
      <c r="AC1" s="3"/>
      <c r="AD1" s="3"/>
      <c r="AE1" s="3"/>
      <c r="AF1" s="3"/>
      <c r="AG1" s="3"/>
      <c r="AH1" s="3"/>
    </row>
    <row r="2" spans="1:34" ht="82.4" customHeight="1">
      <c r="A2" s="34"/>
      <c r="B2" s="136"/>
      <c r="C2" s="35"/>
      <c r="D2" s="361" t="str">
        <f ca="1">OFFSET(L!$C$1,MATCH("Declaration"&amp;ADDRESS(ROW(),COLUMN(),4),L!$A:$A,0)-1,SL,,)</f>
        <v>Conflict Minerals Reporting Template (CMRT)</v>
      </c>
      <c r="E2" s="362"/>
      <c r="F2" s="362"/>
      <c r="G2" s="362"/>
      <c r="H2" s="362"/>
      <c r="I2" s="362"/>
      <c r="J2" s="363"/>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71"/>
      <c r="G3" s="371"/>
      <c r="H3" s="371"/>
      <c r="I3" s="152"/>
      <c r="J3" s="138" t="s">
        <v>15733</v>
      </c>
      <c r="K3" s="36"/>
      <c r="L3" s="100"/>
      <c r="P3" s="45">
        <f>MATCH($D$3,LN,0)</f>
        <v>1</v>
      </c>
    </row>
    <row r="4" spans="1:34" ht="15">
      <c r="A4" s="34"/>
      <c r="B4" s="367" t="str">
        <f ca="1">OFFSET(L!$C$1,MATCH("Declaration"&amp;ADDRESS(ROW(),COLUMN(),4),L!$A:$A,0)-1,SL,,)</f>
        <v>The purpose of this document is to collect sourcing information on tin, tantalum, tungsten and gold used in products</v>
      </c>
      <c r="C4" s="367"/>
      <c r="D4" s="367"/>
      <c r="E4" s="367"/>
      <c r="F4" s="367"/>
      <c r="G4" s="367"/>
      <c r="H4" s="367"/>
      <c r="I4" s="372" t="str">
        <f ca="1">OFFSET(L!$C$1,MATCH("Declaration"&amp;ADDRESS(ROW(),COLUMN(),4),L!$A:$A,0)-1,SL,,)</f>
        <v>Link to Terms &amp; Conditions</v>
      </c>
      <c r="J4" s="372"/>
      <c r="K4" s="36"/>
      <c r="L4" s="115"/>
      <c r="P4" s="3"/>
      <c r="Q4" s="3"/>
      <c r="R4" s="3"/>
      <c r="S4" s="3"/>
      <c r="T4" s="3"/>
      <c r="U4" s="3"/>
      <c r="V4" s="3"/>
      <c r="W4" s="3"/>
      <c r="X4" s="3"/>
      <c r="Y4" s="3"/>
      <c r="Z4" s="3"/>
      <c r="AA4" s="3"/>
      <c r="AB4" s="3"/>
      <c r="AC4" s="3"/>
      <c r="AD4" s="3"/>
      <c r="AE4" s="3"/>
      <c r="AF4" s="3"/>
      <c r="AG4" s="3"/>
      <c r="AH4" s="3"/>
    </row>
    <row r="5" spans="1:34" ht="15">
      <c r="A5" s="134" t="str">
        <f>LEFT(D9,1)</f>
        <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7" t="str">
        <f ca="1">OFFSET(L!$C$1,MATCH("Declaration"&amp;ADDRESS(ROW(),COLUMN(),4),L!$A:$A,0)-1,SL,,)</f>
        <v>Mandatory fields are noted with an asterisk (*).  Consult the instructions tab for guidance on how to answer each question.</v>
      </c>
      <c r="C6" s="367"/>
      <c r="D6" s="367"/>
      <c r="E6" s="367"/>
      <c r="F6" s="367"/>
      <c r="G6" s="367"/>
      <c r="H6" s="367"/>
      <c r="I6" s="367"/>
      <c r="J6" s="367"/>
      <c r="K6" s="36"/>
      <c r="L6" s="115" t="s">
        <v>430</v>
      </c>
      <c r="P6" s="3"/>
      <c r="Q6" s="3"/>
      <c r="R6" s="3"/>
      <c r="S6" s="3"/>
      <c r="T6" s="3"/>
      <c r="U6" s="3"/>
      <c r="V6" s="3"/>
      <c r="W6" s="3"/>
      <c r="X6" s="3"/>
      <c r="Y6" s="3"/>
      <c r="Z6" s="3"/>
      <c r="AA6" s="3"/>
      <c r="AB6" s="3"/>
      <c r="AC6" s="3"/>
      <c r="AD6" s="3"/>
      <c r="AE6" s="3"/>
      <c r="AF6" s="3"/>
      <c r="AG6" s="3"/>
      <c r="AH6" s="3"/>
    </row>
    <row r="7" spans="1:34" ht="37" customHeight="1">
      <c r="A7" s="34"/>
      <c r="B7" s="376" t="str">
        <f ca="1">OFFSET(L!$C$1,MATCH("Declaration"&amp;ADDRESS(ROW(),COLUMN(),4),L!$A:$A,0)-1,SL,,)</f>
        <v>Company Information</v>
      </c>
      <c r="C7" s="376"/>
      <c r="D7" s="376"/>
      <c r="E7" s="376"/>
      <c r="F7" s="376"/>
      <c r="G7" s="376"/>
      <c r="H7" s="376"/>
      <c r="I7" s="376"/>
      <c r="J7" s="376"/>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64"/>
      <c r="E8" s="365"/>
      <c r="F8" s="365"/>
      <c r="G8" s="365"/>
      <c r="H8" s="365"/>
      <c r="I8" s="365"/>
      <c r="J8" s="366"/>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73"/>
      <c r="E9" s="374"/>
      <c r="F9" s="374"/>
      <c r="G9" s="375"/>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5" customHeight="1">
      <c r="A10" s="38"/>
      <c r="B10" s="377" t="str">
        <f ca="1">OFFSET(L!$C$1,MATCH("Declaration"&amp;ADDRESS(ROW(),COLUMN(),4)&amp;LEFT($D$9,1),L!$A:$A,0)-1,SL,,)</f>
        <v>Description of Scope:</v>
      </c>
      <c r="C10" s="122"/>
      <c r="D10" s="368"/>
      <c r="E10" s="369"/>
      <c r="F10" s="369"/>
      <c r="G10" s="369"/>
      <c r="H10" s="369"/>
      <c r="I10" s="369"/>
      <c r="J10" s="370"/>
      <c r="K10" s="36"/>
      <c r="L10" s="115"/>
      <c r="Q10" s="3"/>
      <c r="R10" s="3"/>
      <c r="S10" s="3"/>
      <c r="T10" s="3"/>
      <c r="U10" s="3"/>
      <c r="V10" s="3"/>
      <c r="W10" s="3"/>
      <c r="X10" s="3"/>
      <c r="Y10" s="3"/>
      <c r="Z10" s="3"/>
      <c r="AA10" s="3"/>
      <c r="AB10" s="3"/>
      <c r="AC10" s="3"/>
      <c r="AD10" s="3"/>
      <c r="AE10" s="3"/>
      <c r="AF10" s="3"/>
      <c r="AG10" s="3"/>
      <c r="AH10" s="3"/>
    </row>
    <row r="11" spans="1:34" ht="15">
      <c r="A11" s="38"/>
      <c r="B11" s="378"/>
      <c r="C11" s="122"/>
      <c r="D11" s="343" t="str">
        <f ca="1">IF(D9=Q9,OFFSET(L!$C$1,MATCH("Declaration"&amp;ADDRESS(ROW(),COLUMN(),4),L!$A:$A,0)-1,SL,,),"")</f>
        <v/>
      </c>
      <c r="E11" s="344"/>
      <c r="F11" s="344"/>
      <c r="G11" s="344"/>
      <c r="H11" s="344"/>
      <c r="I11" s="344"/>
      <c r="J11" s="345"/>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1"/>
      <c r="E12" s="352"/>
      <c r="F12" s="352"/>
      <c r="G12" s="352"/>
      <c r="H12" s="352"/>
      <c r="I12" s="352"/>
      <c r="J12" s="353"/>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1"/>
      <c r="E13" s="352"/>
      <c r="F13" s="352"/>
      <c r="G13" s="352"/>
      <c r="H13" s="352"/>
      <c r="I13" s="352"/>
      <c r="J13" s="353"/>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1"/>
      <c r="E14" s="352"/>
      <c r="F14" s="352"/>
      <c r="G14" s="352"/>
      <c r="H14" s="352"/>
      <c r="I14" s="352"/>
      <c r="J14" s="353"/>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1"/>
      <c r="E15" s="352"/>
      <c r="F15" s="352"/>
      <c r="G15" s="352"/>
      <c r="H15" s="352"/>
      <c r="I15" s="352"/>
      <c r="J15" s="353"/>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79"/>
      <c r="E16" s="380"/>
      <c r="F16" s="380"/>
      <c r="G16" s="380"/>
      <c r="H16" s="380"/>
      <c r="I16" s="380"/>
      <c r="J16" s="381"/>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1"/>
      <c r="E17" s="352"/>
      <c r="F17" s="352"/>
      <c r="G17" s="352"/>
      <c r="H17" s="352"/>
      <c r="I17" s="352"/>
      <c r="J17" s="353"/>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24"/>
      <c r="E18" s="325"/>
      <c r="F18" s="325"/>
      <c r="G18" s="325"/>
      <c r="H18" s="325"/>
      <c r="I18" s="325"/>
      <c r="J18" s="326"/>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1"/>
      <c r="E19" s="352"/>
      <c r="F19" s="352"/>
      <c r="G19" s="352"/>
      <c r="H19" s="352"/>
      <c r="I19" s="352"/>
      <c r="J19" s="353"/>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79"/>
      <c r="E20" s="380"/>
      <c r="F20" s="380"/>
      <c r="G20" s="380"/>
      <c r="H20" s="380"/>
      <c r="I20" s="380"/>
      <c r="J20" s="381"/>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82"/>
      <c r="E21" s="383"/>
      <c r="F21" s="383"/>
      <c r="G21" s="383"/>
      <c r="H21" s="383"/>
      <c r="I21" s="383"/>
      <c r="J21" s="384"/>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85"/>
      <c r="E22" s="386"/>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54"/>
      <c r="E23" s="354"/>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87" t="str">
        <f ca="1">OFFSET(L!$C$1,MATCH("Declaration"&amp;ADDRESS(ROW(),COLUMN(),4),L!$A:$A,0)-1,SL,,)</f>
        <v>Answer the following questions 1 - 8 based on the declaration scope indicated above</v>
      </c>
      <c r="C24" s="387"/>
      <c r="D24" s="387"/>
      <c r="E24" s="387"/>
      <c r="F24" s="387"/>
      <c r="G24" s="387"/>
      <c r="H24" s="387"/>
      <c r="I24" s="387"/>
      <c r="J24" s="387"/>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4" t="str">
        <f ca="1">OFFSET(L!$C$1,MATCH("Declaration"&amp;ADDRESS(ROW(),COLUMN(),4),L!$A:$A,0)-1,SL,,)</f>
        <v>Answer</v>
      </c>
      <c r="E25" s="334"/>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Tantalum  (*)</v>
      </c>
      <c r="C26" s="35"/>
      <c r="D26" s="327"/>
      <c r="E26" s="328"/>
      <c r="F26" s="12"/>
      <c r="G26" s="329"/>
      <c r="H26" s="330"/>
      <c r="I26" s="330"/>
      <c r="J26" s="331"/>
      <c r="K26" s="36"/>
      <c r="L26" s="116"/>
      <c r="P26" s="45" t="str">
        <f>IF(D$26="No","","(*)")</f>
        <v>(*)</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7"/>
      <c r="E27" s="328"/>
      <c r="F27" s="12"/>
      <c r="G27" s="329"/>
      <c r="H27" s="330"/>
      <c r="I27" s="330"/>
      <c r="J27" s="331"/>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7"/>
      <c r="E28" s="328"/>
      <c r="F28" s="12"/>
      <c r="G28" s="329"/>
      <c r="H28" s="330"/>
      <c r="I28" s="330"/>
      <c r="J28" s="331"/>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Tungsten  (*)</v>
      </c>
      <c r="C29" s="35"/>
      <c r="D29" s="327"/>
      <c r="E29" s="328"/>
      <c r="F29" s="12"/>
      <c r="G29" s="329"/>
      <c r="H29" s="330"/>
      <c r="I29" s="330"/>
      <c r="J29" s="331"/>
      <c r="K29" s="36"/>
      <c r="L29" s="116"/>
      <c r="P29" s="45" t="str">
        <f>IF(D$29="No","","(*)")</f>
        <v>(*)</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6" t="str">
        <f ca="1">D25</f>
        <v>Answer</v>
      </c>
      <c r="E31" s="336"/>
      <c r="F31" s="18"/>
      <c r="G31" s="44" t="str">
        <f ca="1">G25</f>
        <v>Comments</v>
      </c>
      <c r="H31" s="44"/>
      <c r="I31" s="44"/>
      <c r="J31" s="83"/>
      <c r="K31" s="36"/>
      <c r="L31" s="111" t="s">
        <v>1209</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Tantalum  (*)</v>
      </c>
      <c r="C32" s="10"/>
      <c r="D32" s="346"/>
      <c r="E32" s="347"/>
      <c r="F32" s="47"/>
      <c r="G32" s="329"/>
      <c r="H32" s="330"/>
      <c r="I32" s="330"/>
      <c r="J32" s="331"/>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7"/>
      <c r="E33" s="328"/>
      <c r="F33" s="47"/>
      <c r="G33" s="329"/>
      <c r="H33" s="330"/>
      <c r="I33" s="330"/>
      <c r="J33" s="331"/>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7"/>
      <c r="E34" s="328"/>
      <c r="F34" s="47"/>
      <c r="G34" s="329"/>
      <c r="H34" s="330"/>
      <c r="I34" s="330"/>
      <c r="J34" s="331"/>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Tungsten  (*)</v>
      </c>
      <c r="C35" s="10"/>
      <c r="D35" s="327"/>
      <c r="E35" s="328"/>
      <c r="F35" s="47"/>
      <c r="G35" s="329"/>
      <c r="H35" s="330"/>
      <c r="I35" s="330"/>
      <c r="J35" s="331"/>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6" t="str">
        <f ca="1">D25</f>
        <v>Answer</v>
      </c>
      <c r="E37" s="336"/>
      <c r="F37" s="18"/>
      <c r="G37" s="44" t="str">
        <f ca="1">G25</f>
        <v>Comments</v>
      </c>
      <c r="H37" s="350"/>
      <c r="I37" s="350"/>
      <c r="J37" s="350"/>
      <c r="K37" s="36"/>
      <c r="L37" s="111" t="s">
        <v>1209</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Tantalum  (*)</v>
      </c>
      <c r="C38" s="10"/>
      <c r="D38" s="327"/>
      <c r="E38" s="328"/>
      <c r="F38" s="47"/>
      <c r="G38" s="329"/>
      <c r="H38" s="330"/>
      <c r="I38" s="330"/>
      <c r="J38" s="331"/>
      <c r="K38" s="36"/>
      <c r="L38" s="116"/>
      <c r="P38" s="45" t="str">
        <f>IF((OR(D$26="No",D$32="No")),"","(*)")</f>
        <v>(*)</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7"/>
      <c r="E39" s="328"/>
      <c r="F39" s="47"/>
      <c r="G39" s="329"/>
      <c r="H39" s="330"/>
      <c r="I39" s="330"/>
      <c r="J39" s="331"/>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7"/>
      <c r="E40" s="328"/>
      <c r="F40" s="47"/>
      <c r="G40" s="329"/>
      <c r="H40" s="330"/>
      <c r="I40" s="330"/>
      <c r="J40" s="331"/>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Tungsten  (*)</v>
      </c>
      <c r="C41" s="10"/>
      <c r="D41" s="327"/>
      <c r="E41" s="328"/>
      <c r="F41" s="47"/>
      <c r="G41" s="329"/>
      <c r="H41" s="330"/>
      <c r="I41" s="330"/>
      <c r="J41" s="331"/>
      <c r="K41" s="36"/>
      <c r="L41" s="116"/>
      <c r="P41" s="45" t="str">
        <f>IF((OR(D$29="No",D$35="No")),"","(*)")</f>
        <v>(*)</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6" t="str">
        <f ca="1">D25</f>
        <v>Answer</v>
      </c>
      <c r="E43" s="336"/>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Tantalum  (*)</v>
      </c>
      <c r="C44" s="10"/>
      <c r="D44" s="327"/>
      <c r="E44" s="328"/>
      <c r="F44" s="47"/>
      <c r="G44" s="329"/>
      <c r="H44" s="330"/>
      <c r="I44" s="330"/>
      <c r="J44" s="331"/>
      <c r="K44" s="36"/>
      <c r="L44" s="111"/>
      <c r="P44" s="45" t="str">
        <f>IF((OR(D$26="No",D$32="No")),"","(*)")</f>
        <v>(*)</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7"/>
      <c r="E45" s="328"/>
      <c r="F45" s="47"/>
      <c r="G45" s="329"/>
      <c r="H45" s="330"/>
      <c r="I45" s="330"/>
      <c r="J45" s="331"/>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7"/>
      <c r="E46" s="328"/>
      <c r="F46" s="47"/>
      <c r="G46" s="329"/>
      <c r="H46" s="330"/>
      <c r="I46" s="330"/>
      <c r="J46" s="331"/>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Tungsten  (*)</v>
      </c>
      <c r="C47" s="10"/>
      <c r="D47" s="327"/>
      <c r="E47" s="328"/>
      <c r="F47" s="47"/>
      <c r="G47" s="329"/>
      <c r="H47" s="330"/>
      <c r="I47" s="330"/>
      <c r="J47" s="331"/>
      <c r="K47" s="36"/>
      <c r="L47" s="111"/>
      <c r="P47" s="45" t="str">
        <f>IF((OR(D$29="No",D$35="No")),"","(*)")</f>
        <v>(*)</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6" t="str">
        <f ca="1">D25</f>
        <v>Answer</v>
      </c>
      <c r="E49" s="336"/>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3">
      <c r="A50" s="41"/>
      <c r="B50" s="40" t="str">
        <f ca="1">B38</f>
        <v>Tantalum  (*)</v>
      </c>
      <c r="C50" s="10"/>
      <c r="D50" s="327"/>
      <c r="E50" s="328"/>
      <c r="F50" s="47"/>
      <c r="G50" s="329"/>
      <c r="H50" s="330"/>
      <c r="I50" s="330"/>
      <c r="J50" s="331"/>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7"/>
      <c r="E51" s="328"/>
      <c r="F51" s="47"/>
      <c r="G51" s="329"/>
      <c r="H51" s="330"/>
      <c r="I51" s="330"/>
      <c r="J51" s="331"/>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7"/>
      <c r="E52" s="328"/>
      <c r="F52" s="47"/>
      <c r="G52" s="329"/>
      <c r="H52" s="330"/>
      <c r="I52" s="330"/>
      <c r="J52" s="331"/>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Tungsten  (*)</v>
      </c>
      <c r="C53" s="10"/>
      <c r="D53" s="327"/>
      <c r="E53" s="328"/>
      <c r="F53" s="47"/>
      <c r="G53" s="329"/>
      <c r="H53" s="330"/>
      <c r="I53" s="330"/>
      <c r="J53" s="331"/>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36" t="str">
        <f ca="1">D25</f>
        <v>Answer</v>
      </c>
      <c r="E55" s="336"/>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3">
      <c r="A56" s="41"/>
      <c r="B56" s="40" t="str">
        <f ca="1">B38</f>
        <v>Tantalum  (*)</v>
      </c>
      <c r="C56" s="35"/>
      <c r="D56" s="348"/>
      <c r="E56" s="349"/>
      <c r="F56" s="47"/>
      <c r="G56" s="329"/>
      <c r="H56" s="330"/>
      <c r="I56" s="330"/>
      <c r="J56" s="331"/>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48"/>
      <c r="E57" s="349"/>
      <c r="F57" s="47"/>
      <c r="G57" s="329"/>
      <c r="H57" s="330"/>
      <c r="I57" s="330"/>
      <c r="J57" s="331"/>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48"/>
      <c r="E58" s="349"/>
      <c r="F58" s="47"/>
      <c r="G58" s="329"/>
      <c r="H58" s="330"/>
      <c r="I58" s="330"/>
      <c r="J58" s="331"/>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Tungsten  (*)</v>
      </c>
      <c r="C59" s="35"/>
      <c r="D59" s="348"/>
      <c r="E59" s="349"/>
      <c r="F59" s="47"/>
      <c r="G59" s="329"/>
      <c r="H59" s="330"/>
      <c r="I59" s="330"/>
      <c r="J59" s="331"/>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36" t="str">
        <f ca="1">D25</f>
        <v>Answer</v>
      </c>
      <c r="E61" s="336"/>
      <c r="F61" s="18"/>
      <c r="G61" s="44" t="str">
        <f ca="1">G25</f>
        <v>Comments</v>
      </c>
      <c r="H61" s="333"/>
      <c r="I61" s="333"/>
      <c r="J61" s="333"/>
      <c r="K61" s="36"/>
      <c r="L61" s="111" t="s">
        <v>1207</v>
      </c>
      <c r="M61" s="112"/>
      <c r="P61" s="3"/>
      <c r="Q61" s="3"/>
      <c r="R61" s="3"/>
      <c r="S61" s="3"/>
      <c r="T61" s="3"/>
      <c r="U61" s="3"/>
      <c r="V61" s="3"/>
      <c r="W61" s="3"/>
      <c r="X61" s="3"/>
      <c r="Y61" s="3"/>
      <c r="Z61" s="3"/>
      <c r="AA61" s="3"/>
      <c r="AB61" s="3"/>
      <c r="AC61" s="3"/>
      <c r="AD61" s="3"/>
      <c r="AE61" s="3"/>
      <c r="AF61" s="3"/>
      <c r="AG61" s="3"/>
      <c r="AH61" s="3"/>
    </row>
    <row r="62" spans="1:34" ht="23">
      <c r="A62" s="41"/>
      <c r="B62" s="40" t="str">
        <f ca="1">B38</f>
        <v>Tantalum  (*)</v>
      </c>
      <c r="C62" s="10"/>
      <c r="D62" s="346"/>
      <c r="E62" s="347"/>
      <c r="F62" s="47"/>
      <c r="G62" s="329"/>
      <c r="H62" s="330"/>
      <c r="I62" s="330"/>
      <c r="J62" s="331"/>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7"/>
      <c r="E63" s="328"/>
      <c r="F63" s="47"/>
      <c r="G63" s="329"/>
      <c r="H63" s="330"/>
      <c r="I63" s="330"/>
      <c r="J63" s="331"/>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7"/>
      <c r="E64" s="328"/>
      <c r="F64" s="47"/>
      <c r="G64" s="329"/>
      <c r="H64" s="330"/>
      <c r="I64" s="330"/>
      <c r="J64" s="331"/>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Tungsten  (*)</v>
      </c>
      <c r="C65" s="10"/>
      <c r="D65" s="327"/>
      <c r="E65" s="328"/>
      <c r="F65" s="47"/>
      <c r="G65" s="329"/>
      <c r="H65" s="330"/>
      <c r="I65" s="330"/>
      <c r="J65" s="331"/>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6" t="str">
        <f ca="1">D25</f>
        <v>Answer</v>
      </c>
      <c r="E67" s="336"/>
      <c r="F67" s="18"/>
      <c r="G67" s="44" t="str">
        <f ca="1">G25</f>
        <v>Comments</v>
      </c>
      <c r="H67" s="333" t="str">
        <f>IF(Q75="(*)","Click here to enter smelter names","")</f>
        <v/>
      </c>
      <c r="I67" s="333"/>
      <c r="J67" s="333"/>
      <c r="K67" s="36"/>
      <c r="L67" s="111" t="s">
        <v>1207</v>
      </c>
      <c r="M67" s="112"/>
      <c r="P67" s="3"/>
      <c r="Q67" s="3"/>
      <c r="R67" s="3"/>
      <c r="S67" s="3"/>
      <c r="T67" s="3"/>
      <c r="U67" s="3"/>
      <c r="V67" s="3"/>
      <c r="W67" s="3"/>
      <c r="X67" s="3"/>
      <c r="Y67" s="3"/>
      <c r="Z67" s="3"/>
      <c r="AA67" s="3"/>
      <c r="AB67" s="3"/>
      <c r="AC67" s="3"/>
      <c r="AD67" s="3"/>
      <c r="AE67" s="3"/>
      <c r="AF67" s="3"/>
      <c r="AG67" s="3"/>
      <c r="AH67" s="3"/>
    </row>
    <row r="68" spans="1:34" ht="23">
      <c r="A68" s="41"/>
      <c r="B68" s="40" t="str">
        <f ca="1">B38</f>
        <v>Tantalum  (*)</v>
      </c>
      <c r="C68" s="35"/>
      <c r="D68" s="327"/>
      <c r="E68" s="328"/>
      <c r="F68" s="48"/>
      <c r="G68" s="329"/>
      <c r="H68" s="330"/>
      <c r="I68" s="330"/>
      <c r="J68" s="331"/>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7"/>
      <c r="E69" s="328"/>
      <c r="F69" s="48"/>
      <c r="G69" s="329"/>
      <c r="H69" s="330"/>
      <c r="I69" s="330"/>
      <c r="J69" s="331"/>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7"/>
      <c r="E70" s="328"/>
      <c r="F70" s="48"/>
      <c r="G70" s="329"/>
      <c r="H70" s="330"/>
      <c r="I70" s="330"/>
      <c r="J70" s="331"/>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Tungsten  (*)</v>
      </c>
      <c r="C71" s="49"/>
      <c r="D71" s="327"/>
      <c r="E71" s="328"/>
      <c r="F71" s="50"/>
      <c r="G71" s="329"/>
      <c r="H71" s="330"/>
      <c r="I71" s="330"/>
      <c r="J71" s="331"/>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2" t="str">
        <f ca="1">OFFSET(L!$C$1,MATCH("Declaration"&amp;ADDRESS(ROW(),COLUMN(),4),L!$A:$A,0)-1,SL,,)</f>
        <v>Answer the Following Questions at a Company Level</v>
      </c>
      <c r="C73" s="332"/>
      <c r="D73" s="332"/>
      <c r="E73" s="332"/>
      <c r="F73" s="332"/>
      <c r="G73" s="332"/>
      <c r="H73" s="332"/>
      <c r="I73" s="332"/>
      <c r="J73" s="332"/>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4" t="str">
        <f ca="1">D25</f>
        <v>Answer</v>
      </c>
      <c r="E74" s="334"/>
      <c r="F74" s="53"/>
      <c r="G74" s="334" t="str">
        <f ca="1">G25</f>
        <v>Comments</v>
      </c>
      <c r="H74" s="334" t="e">
        <f>HLOOKUP(SL,LT,$O74,0)</f>
        <v>#NAME?</v>
      </c>
      <c r="I74" s="334"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7"/>
      <c r="E75" s="328"/>
      <c r="F75" s="57"/>
      <c r="G75" s="329"/>
      <c r="H75" s="330"/>
      <c r="I75" s="330"/>
      <c r="J75" s="331"/>
      <c r="K75" s="36"/>
      <c r="L75" s="113" t="s">
        <v>1208</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35"/>
      <c r="H76" s="335"/>
      <c r="I76" s="335"/>
      <c r="J76" s="335"/>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7"/>
      <c r="E77" s="328"/>
      <c r="F77" s="57"/>
      <c r="G77" s="355"/>
      <c r="H77" s="356"/>
      <c r="I77" s="356"/>
      <c r="J77" s="357"/>
      <c r="K77" s="36"/>
      <c r="L77" s="113" t="s">
        <v>1209</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7"/>
      <c r="E79" s="328"/>
      <c r="F79" s="57"/>
      <c r="G79" s="329"/>
      <c r="H79" s="330"/>
      <c r="I79" s="330"/>
      <c r="J79" s="331"/>
      <c r="K79" s="36"/>
      <c r="L79" s="113" t="s">
        <v>1209</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7"/>
      <c r="E81" s="328"/>
      <c r="F81" s="57"/>
      <c r="G81" s="329"/>
      <c r="H81" s="330"/>
      <c r="I81" s="330"/>
      <c r="J81" s="331"/>
      <c r="K81" s="36"/>
      <c r="L81" s="113" t="s">
        <v>1268</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7"/>
      <c r="E83" s="328"/>
      <c r="F83" s="57"/>
      <c r="G83" s="329"/>
      <c r="H83" s="330"/>
      <c r="I83" s="330"/>
      <c r="J83" s="331"/>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40"/>
      <c r="E85" s="341"/>
      <c r="F85" s="57"/>
      <c r="G85" s="329"/>
      <c r="H85" s="330"/>
      <c r="I85" s="330"/>
      <c r="J85" s="331"/>
      <c r="K85" s="36"/>
      <c r="L85" s="113" t="s">
        <v>1209</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35"/>
      <c r="H86" s="335"/>
      <c r="I86" s="335"/>
      <c r="J86" s="335"/>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7"/>
      <c r="E87" s="328"/>
      <c r="F87" s="57"/>
      <c r="G87" s="329"/>
      <c r="H87" s="330"/>
      <c r="I87" s="330"/>
      <c r="J87" s="331"/>
      <c r="K87" s="36"/>
      <c r="L87" s="113" t="s">
        <v>1207</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42"/>
      <c r="H88" s="342"/>
      <c r="I88" s="342"/>
      <c r="J88" s="34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7"/>
      <c r="E89" s="328"/>
      <c r="F89" s="57"/>
      <c r="G89" s="329"/>
      <c r="H89" s="330"/>
      <c r="I89" s="330"/>
      <c r="J89" s="331"/>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39" t="str">
        <f>IF(OR($D$8="",$I$3=""),"","Click here to check required fields completion")</f>
        <v/>
      </c>
      <c r="C90" s="339"/>
      <c r="D90" s="339"/>
      <c r="E90" s="339"/>
      <c r="F90" s="339"/>
      <c r="G90" s="339"/>
      <c r="H90" s="339"/>
      <c r="I90" s="339"/>
      <c r="J90" s="339"/>
      <c r="K90" s="36"/>
      <c r="L90" s="100"/>
      <c r="P90" s="3"/>
      <c r="Q90" s="3"/>
      <c r="R90" s="3"/>
      <c r="S90" s="3"/>
      <c r="T90" s="3"/>
      <c r="U90" s="3"/>
      <c r="V90" s="3"/>
      <c r="W90" s="3"/>
      <c r="X90" s="3"/>
      <c r="Y90" s="3"/>
      <c r="Z90" s="3"/>
      <c r="AA90" s="3"/>
      <c r="AB90" s="3"/>
      <c r="AC90" s="3"/>
      <c r="AD90" s="3"/>
      <c r="AE90" s="3"/>
      <c r="AF90" s="3"/>
      <c r="AG90" s="3"/>
      <c r="AH90" s="3"/>
    </row>
    <row r="91" spans="1:34" ht="15.5" thickBot="1">
      <c r="A91" s="337" t="str">
        <f ca="1">OFFSET(L!$C$1,MATCH("General"&amp;"Cpy",L!$A:$A,0)-1,SL,,)</f>
        <v>© 2025 Responsible Minerals Initiative. All rights reserved.</v>
      </c>
      <c r="B91" s="338"/>
      <c r="C91" s="338"/>
      <c r="D91" s="338"/>
      <c r="E91" s="338"/>
      <c r="F91" s="338"/>
      <c r="G91" s="338"/>
      <c r="H91" s="338"/>
      <c r="I91" s="338"/>
      <c r="J91" s="338"/>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Yes</v>
      </c>
      <c r="E96" s="282" t="str">
        <f>IF(AND(OR($D$26="Yes",$D$26=""),OR($D$32="Yes",$D$32="")),"100%","")</f>
        <v>100%</v>
      </c>
      <c r="G96" s="282" t="str">
        <f>IF(OR($D$26="Yes",$D$26=""),"Yes","")</f>
        <v>Yes</v>
      </c>
    </row>
    <row r="97" spans="2:7" ht="13.5" hidden="1" customHeight="1">
      <c r="B97" s="56" t="s">
        <v>476</v>
      </c>
      <c r="D97" s="282" t="str">
        <f>IF(AND(OR($D$26="Yes",$D$26=""),OR($D$32="Yes",$D$32="")),"No","")</f>
        <v>No</v>
      </c>
      <c r="E97" s="282" t="str">
        <f>IF(AND(OR($D$26="Yes",$D$26=""),OR($D$32="Yes",$D$32="")),"Greater than 90%","")</f>
        <v>Greater than 90%</v>
      </c>
      <c r="G97" s="282" t="str">
        <f>IF(OR($D$26="Yes",$D$26=""),"No","")</f>
        <v>No</v>
      </c>
    </row>
    <row r="98" spans="2:7" ht="15" hidden="1">
      <c r="B98" s="56" t="s">
        <v>477</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2432</v>
      </c>
      <c r="D100" s="282" t="str">
        <f>IF(AND(OR($D$27="Yes",$D$27=""),OR($D$33="Yes",$D$33="")),"No","")</f>
        <v>No</v>
      </c>
      <c r="E100" s="282" t="str">
        <f>IF(AND(OR($D$26="Yes",$D$26=""),OR($D$32="Yes",$D$32="")),"50% or less","")</f>
        <v>50% or less</v>
      </c>
      <c r="G100" s="282" t="str">
        <f>IF(OR($D$28="Yes",$D$28=""),"Yes","")</f>
        <v>Yes</v>
      </c>
    </row>
    <row r="101" spans="2:7" ht="15" hidden="1">
      <c r="B101" s="236" t="s">
        <v>2433</v>
      </c>
      <c r="D101" s="282" t="str">
        <f>IF(AND(OR($D$27="Yes",$D$27=""),OR($D$33="Yes",$D$33="")),"Unknown","")</f>
        <v>Unknown</v>
      </c>
      <c r="E101" s="282" t="str">
        <f>IF(AND(OR($D$26="Yes",$D$26=""),OR($D$32="Yes",$D$32="")),"None","")</f>
        <v>None</v>
      </c>
      <c r="G101" s="282" t="str">
        <f>IF(OR($D$28="Yes",$D$28=""),"No","")</f>
        <v>No</v>
      </c>
    </row>
    <row r="102" spans="2:7" ht="15" hidden="1">
      <c r="B102" s="236" t="s">
        <v>2434</v>
      </c>
      <c r="D102" s="282" t="str">
        <f>IF(AND(OR($D$28="Yes",$D$28=""),OR($D$34="Yes",$D$34="")),"Yes","")</f>
        <v>Yes</v>
      </c>
      <c r="E102" s="282" t="str">
        <f>IF(AND(OR($D$27="Yes",$D$27=""),OR($D$33="Yes",$D$33="")),"100%","")</f>
        <v>100%</v>
      </c>
      <c r="G102" s="282" t="str">
        <f>IF(OR($D$29="Yes",$D$29=""),"Yes","")</f>
        <v>Yes</v>
      </c>
    </row>
    <row r="103" spans="2:7" ht="15" hidden="1">
      <c r="B103" s="236" t="s">
        <v>2435</v>
      </c>
      <c r="D103" s="282" t="str">
        <f>IF(AND(OR($D$28="Yes",$D$28=""),OR($D$34="Yes",$D$34="")),"No","")</f>
        <v>No</v>
      </c>
      <c r="E103" s="282" t="str">
        <f>IF(AND(OR($D$27="Yes",$D$27=""),OR($D$33="Yes",$D$33="")),"Greater than 90%","")</f>
        <v>Greater than 90%</v>
      </c>
      <c r="G103" s="282" t="str">
        <f>IF(OR($D$29="Yes",$D$29=""),"No","")</f>
        <v>No</v>
      </c>
    </row>
    <row r="104" spans="2:7" ht="15" hidden="1">
      <c r="B104" s="236" t="s">
        <v>478</v>
      </c>
      <c r="D104" s="282" t="str">
        <f>IF(AND(OR($D$28="Yes",$D$28=""),OR($D$34="Yes",$D$34="")),"Unknown","")</f>
        <v>Unknown</v>
      </c>
      <c r="E104" s="282" t="str">
        <f>IF(AND(OR($D$27="Yes",$D$27=""),OR($D$33="Yes",$D$33="")),"Greater than 75%","")</f>
        <v>Greater than 75%</v>
      </c>
    </row>
    <row r="105" spans="2:7" ht="15" hidden="1">
      <c r="B105" s="236" t="s">
        <v>14853</v>
      </c>
      <c r="D105" s="282" t="str">
        <f>IF(AND(OR($D$29="Yes",$D$29=""),OR($D$35="Yes",$D$35="")),"Yes","")</f>
        <v>Yes</v>
      </c>
      <c r="E105" s="282" t="str">
        <f>IF(AND(OR($D$27="Yes",$D$27=""),OR($D$33="Yes",$D$33="")),"Greater than 50%","")</f>
        <v>Greater than 50%</v>
      </c>
    </row>
    <row r="106" spans="2:7" ht="15" hidden="1">
      <c r="B106" s="236" t="s">
        <v>12341</v>
      </c>
      <c r="D106" s="282" t="str">
        <f>IF(AND(OR($D$29="Yes",$D$29=""),OR($D$35="Yes",$D$35="")),"No","")</f>
        <v>No</v>
      </c>
      <c r="E106" s="282" t="str">
        <f>IF(AND(OR($D$27="Yes",$D$27=""),OR($D$33="Yes",$D$33="")),"50% or less","")</f>
        <v>50% or less</v>
      </c>
    </row>
    <row r="107" spans="2:7" ht="15" hidden="1">
      <c r="B107" s="236" t="s">
        <v>476</v>
      </c>
      <c r="D107" s="282" t="str">
        <f>IF(AND(OR($D$29="Yes",$D$29=""),OR($D$35="Yes",$D$35="")),"Unknown","")</f>
        <v>Unknown</v>
      </c>
      <c r="E107" s="282" t="str">
        <f>IF(AND(OR($D$27="Yes",$D$27=""),OR($D$33="Yes",$D$33="")),"None","")</f>
        <v>None</v>
      </c>
    </row>
    <row r="108" spans="2:7" ht="15" hidden="1">
      <c r="B108" s="236" t="s">
        <v>13880</v>
      </c>
      <c r="E108" s="282" t="str">
        <f>IF(AND(OR($D$28="Yes",$D$28=""),OR($D$34="Yes",$D$34="")),"100%","")</f>
        <v>100%</v>
      </c>
    </row>
    <row r="109" spans="2:7" ht="15" hidden="1">
      <c r="B109" s="236" t="s">
        <v>13882</v>
      </c>
      <c r="E109" s="282" t="str">
        <f>IF(AND(OR($D$28="Yes",$D$28=""),OR($D$34="Yes",$D$34="")),"Greater than 90%","")</f>
        <v>Greater than 90%</v>
      </c>
    </row>
    <row r="110" spans="2:7" ht="15" hidden="1">
      <c r="B110" s="236" t="s">
        <v>13883</v>
      </c>
      <c r="E110" s="282" t="str">
        <f>IF(AND(OR($D$28="Yes",$D$28=""),OR($D$34="Yes",$D$34="")),"Greater than 75%","")</f>
        <v>Greater than 75%</v>
      </c>
    </row>
    <row r="111" spans="2:7" ht="1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phoneticPr fontId="102"/>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2" zoomScaleNormal="100" zoomScalePageLayoutView="55" workbookViewId="0">
      <selection activeCell="A20" sqref="A20"/>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8" t="str">
        <f ca="1">OFFSET(L!$C$1,MATCH("Smelter List"&amp;ADDRESS(ROW(),COLUMN(),4),L!$A:$A,0)-1,SL,,)</f>
        <v>Link to "RMAP Conformant Smelter List"</v>
      </c>
      <c r="K2" s="389"/>
      <c r="L2" s="389"/>
      <c r="M2" s="389"/>
      <c r="N2" s="389"/>
      <c r="O2" s="389"/>
      <c r="P2" s="195"/>
      <c r="Q2" s="196"/>
      <c r="R2" s="197"/>
      <c r="S2" s="197"/>
      <c r="T2" s="197"/>
      <c r="AH2" s="145" t="s">
        <v>475</v>
      </c>
    </row>
    <row r="3" spans="1:34" s="221" customFormat="1" ht="177" customHeight="1">
      <c r="A3" s="171"/>
      <c r="B3" s="39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0"/>
      <c r="D3" s="390"/>
      <c r="E3" s="390"/>
      <c r="F3" s="222"/>
      <c r="G3" s="391" t="str">
        <f ca="1">OFFSET(L!$C$1,MATCH("General"&amp;"Cpy",L!$A:$A,0)-1,SL,,)</f>
        <v>© 2025 Responsible Minerals Initiative. All rights reserved.</v>
      </c>
      <c r="H3" s="391"/>
      <c r="I3" s="392"/>
      <c r="J3" s="126"/>
      <c r="K3" s="127"/>
      <c r="M3" s="198"/>
      <c r="N3" s="198"/>
      <c r="O3" s="99"/>
      <c r="P3" s="99"/>
      <c r="Q3" s="199" t="s">
        <v>15733</v>
      </c>
      <c r="R3" s="216"/>
      <c r="S3" s="216"/>
      <c r="T3" s="216"/>
      <c r="W3" s="223" t="s">
        <v>1100</v>
      </c>
      <c r="X3" s="223" t="s">
        <v>1099</v>
      </c>
      <c r="Y3" s="223" t="s">
        <v>1101</v>
      </c>
      <c r="Z3" s="223" t="s">
        <v>1098</v>
      </c>
      <c r="AH3" s="145" t="s">
        <v>476</v>
      </c>
    </row>
    <row r="4" spans="1:34" s="159" customFormat="1" ht="4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 customHeight="1">
      <c r="A5" s="262"/>
      <c r="B5" s="182"/>
      <c r="C5" s="186"/>
      <c r="D5" s="230"/>
      <c r="E5" s="182"/>
      <c r="F5" s="182"/>
      <c r="G5" s="182"/>
      <c r="H5" s="183"/>
      <c r="I5" s="184"/>
      <c r="J5" s="184"/>
      <c r="K5" s="224"/>
      <c r="L5" s="224"/>
      <c r="M5" s="224"/>
      <c r="N5" s="224"/>
      <c r="O5" s="224"/>
      <c r="P5" s="185"/>
      <c r="Q5" s="225"/>
      <c r="R5" s="182" t="str">
        <f ca="1">IF(ISERROR($V5),"",OFFSET('Smelter Look-up'!$C$4,$V5-4,0)&amp;"")</f>
        <v/>
      </c>
      <c r="S5" s="181" t="str">
        <f ca="1">IF(B5="","",IF(ISERROR(MATCH($E5,CL,0)),"Unknown",INDIRECT("'C'!$A$"&amp;MATCH($E5,CL,0)+1)))</f>
        <v/>
      </c>
      <c r="T5" s="181" t="str">
        <f ca="1">IF(B5="","",IF(ISERROR(MATCH($J5,SorP!$B$1:$B$6226,0)),"",INDIRECT("'SorP'!$A$"&amp;MATCH($S5&amp;$J5,SorP!C:C,0))))</f>
        <v/>
      </c>
      <c r="U5" s="201"/>
      <c r="V5" s="226" t="e">
        <f>IF(C5="",NA(),IF(OR(C5="Smelter not listed",C5="Smelter not yet identified"),MATCH($B5&amp;$D5,'Smelter Look-up'!$J:$J,0),MATCH($B5&amp;$C5,'Smelter Look-up'!$J:$J,0)))</f>
        <v>#N/A</v>
      </c>
      <c r="X5" s="227">
        <f t="shared" ref="X5" si="0">IF(AND(C5="Smelter not listed",OR(LEN(D5)=0,LEN(E5)=0)),1,0)</f>
        <v>0</v>
      </c>
      <c r="AB5" s="228" t="str">
        <f t="shared" ref="AB5" si="1">B5&amp;C5</f>
        <v/>
      </c>
    </row>
    <row r="6" spans="1:34" s="227" customFormat="1" ht="20" customHeight="1">
      <c r="A6" s="262"/>
      <c r="B6" s="182"/>
      <c r="C6" s="186"/>
      <c r="D6" s="230"/>
      <c r="E6" s="182"/>
      <c r="F6" s="182"/>
      <c r="G6" s="182"/>
      <c r="H6" s="183"/>
      <c r="I6" s="184"/>
      <c r="J6" s="184"/>
      <c r="K6" s="224"/>
      <c r="L6" s="224"/>
      <c r="M6" s="224"/>
      <c r="N6" s="224"/>
      <c r="O6" s="224"/>
      <c r="P6" s="185"/>
      <c r="Q6" s="225"/>
      <c r="R6" s="182" t="str">
        <f ca="1">IF(ISERROR($V6),"",OFFSET('Smelter Look-up'!$C$4,$V6-4,0)&amp;"")</f>
        <v/>
      </c>
      <c r="S6" s="181" t="str">
        <f t="shared" ref="S6:S37" ca="1" si="2">IF(B6="","",IF(ISERROR(MATCH($E6,CL,0)),"Unknown",INDIRECT("'C'!$A$"&amp;MATCH($E6,CL,0)+1)))</f>
        <v/>
      </c>
      <c r="T6" s="181" t="str">
        <f ca="1">IF(B6="","",IF(ISERROR(MATCH($J6,SorP!$B$1:$B$6226,0)),"",INDIRECT("'SorP'!$A$"&amp;MATCH($S6&amp;$J6,SorP!C:C,0))))</f>
        <v/>
      </c>
      <c r="U6" s="201"/>
      <c r="V6" s="226" t="e">
        <f>IF(C6="",NA(),IF(OR(C6="Smelter not listed",C6="Smelter not yet identified"),MATCH($B6&amp;$D6,'Smelter Look-up'!$J:$J,0),MATCH($B6&amp;$C6,'Smelter Look-up'!$J:$J,0)))</f>
        <v>#N/A</v>
      </c>
      <c r="X6" s="227">
        <f t="shared" ref="X6:X37" si="3">IF(AND(C6="Smelter not listed",OR(LEN(D6)=0,LEN(E6)=0)),1,0)</f>
        <v>0</v>
      </c>
      <c r="AB6" s="228" t="str">
        <f t="shared" ref="AB6:AB37" si="4">B6&amp;C6</f>
        <v/>
      </c>
    </row>
    <row r="7" spans="1:34" s="227" customFormat="1" ht="20" customHeight="1">
      <c r="A7" s="293"/>
      <c r="B7" s="182"/>
      <c r="C7" s="186"/>
      <c r="D7" s="230"/>
      <c r="E7" s="182"/>
      <c r="F7" s="182"/>
      <c r="G7" s="182"/>
      <c r="H7" s="183"/>
      <c r="I7" s="184"/>
      <c r="J7" s="184"/>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si="3"/>
        <v>0</v>
      </c>
      <c r="AB7" s="228" t="str">
        <f t="shared" si="4"/>
        <v/>
      </c>
    </row>
    <row r="8" spans="1:34" s="227" customFormat="1" ht="20" customHeight="1">
      <c r="A8" s="262"/>
      <c r="B8" s="182"/>
      <c r="C8" s="186"/>
      <c r="D8" s="230"/>
      <c r="E8" s="182"/>
      <c r="F8" s="182"/>
      <c r="G8" s="182"/>
      <c r="H8" s="183"/>
      <c r="I8" s="184"/>
      <c r="J8" s="184"/>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si="3"/>
        <v>0</v>
      </c>
      <c r="AB8" s="228" t="str">
        <f t="shared" si="4"/>
        <v/>
      </c>
    </row>
    <row r="9" spans="1:34" s="227" customFormat="1" ht="20" customHeight="1">
      <c r="A9" s="262"/>
      <c r="B9" s="182"/>
      <c r="C9" s="186"/>
      <c r="D9" s="230"/>
      <c r="E9" s="182"/>
      <c r="F9" s="182"/>
      <c r="G9" s="182"/>
      <c r="H9" s="183"/>
      <c r="I9" s="184"/>
      <c r="J9" s="184"/>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si="3"/>
        <v>0</v>
      </c>
      <c r="AB9" s="228" t="str">
        <f t="shared" si="4"/>
        <v/>
      </c>
    </row>
    <row r="10" spans="1:34" s="227" customFormat="1" ht="20" customHeight="1">
      <c r="A10" s="262"/>
      <c r="B10" s="182"/>
      <c r="C10" s="186"/>
      <c r="D10" s="230"/>
      <c r="E10" s="182"/>
      <c r="F10" s="182"/>
      <c r="G10" s="182"/>
      <c r="H10" s="183"/>
      <c r="I10" s="184"/>
      <c r="J10" s="184"/>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si="3"/>
        <v>0</v>
      </c>
      <c r="AB10" s="228" t="str">
        <f t="shared" si="4"/>
        <v/>
      </c>
    </row>
    <row r="11" spans="1:34" s="227" customFormat="1" ht="20" customHeight="1">
      <c r="A11" s="262"/>
      <c r="B11" s="182"/>
      <c r="C11" s="186"/>
      <c r="D11" s="230"/>
      <c r="E11" s="182"/>
      <c r="F11" s="182"/>
      <c r="G11" s="182"/>
      <c r="H11" s="183"/>
      <c r="I11" s="184"/>
      <c r="J11" s="184"/>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si="3"/>
        <v>0</v>
      </c>
      <c r="AB11" s="228" t="str">
        <f t="shared" si="4"/>
        <v/>
      </c>
    </row>
    <row r="12" spans="1:34" s="227" customFormat="1" ht="20" customHeight="1">
      <c r="A12" s="262"/>
      <c r="B12" s="182"/>
      <c r="C12" s="186"/>
      <c r="D12" s="230"/>
      <c r="E12" s="182"/>
      <c r="F12" s="182"/>
      <c r="G12" s="182"/>
      <c r="H12" s="183"/>
      <c r="I12" s="184"/>
      <c r="J12" s="184"/>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si="3"/>
        <v>0</v>
      </c>
      <c r="AB12" s="228" t="str">
        <f t="shared" si="4"/>
        <v/>
      </c>
    </row>
    <row r="13" spans="1:34" s="227" customFormat="1" ht="20" customHeight="1">
      <c r="A13" s="262"/>
      <c r="B13" s="182"/>
      <c r="C13" s="186"/>
      <c r="D13" s="230"/>
      <c r="E13" s="182"/>
      <c r="F13" s="182"/>
      <c r="G13" s="182"/>
      <c r="H13" s="183"/>
      <c r="I13" s="184"/>
      <c r="J13" s="184"/>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si="3"/>
        <v>0</v>
      </c>
      <c r="AB13" s="228" t="str">
        <f t="shared" si="4"/>
        <v/>
      </c>
    </row>
    <row r="14" spans="1:34" s="227" customFormat="1" ht="20" customHeight="1">
      <c r="A14" s="262"/>
      <c r="B14" s="182"/>
      <c r="C14" s="186"/>
      <c r="D14" s="230"/>
      <c r="E14" s="182"/>
      <c r="F14" s="182"/>
      <c r="G14" s="182"/>
      <c r="H14" s="183"/>
      <c r="I14" s="184"/>
      <c r="J14" s="184"/>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si="3"/>
        <v>0</v>
      </c>
      <c r="AB14" s="228" t="str">
        <f t="shared" si="4"/>
        <v/>
      </c>
    </row>
    <row r="15" spans="1:34" s="227" customFormat="1" ht="20" customHeight="1">
      <c r="A15" s="262"/>
      <c r="B15" s="182"/>
      <c r="C15" s="186"/>
      <c r="D15" s="230"/>
      <c r="E15" s="182"/>
      <c r="F15" s="182"/>
      <c r="G15" s="182"/>
      <c r="H15" s="183"/>
      <c r="I15" s="184"/>
      <c r="J15" s="184"/>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si="3"/>
        <v>0</v>
      </c>
      <c r="AB15" s="228" t="str">
        <f t="shared" si="4"/>
        <v/>
      </c>
    </row>
    <row r="16" spans="1:34" s="227" customFormat="1" ht="20"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4"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phoneticPr fontId="102"/>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4" priority="9" stopIfTrue="1">
      <formula>IF(AND(B5&lt;&gt;"",C5=""),TRUE)</formula>
    </cfRule>
  </conditionalFormatting>
  <conditionalFormatting sqref="D5:D2504">
    <cfRule type="expression" dxfId="13" priority="13" stopIfTrue="1">
      <formula>IF(AND(LEN($C5)&gt;0,AND($C5&lt;&gt;"Smelter Not Listed",ISBLANK($D5))),1,0)</formula>
    </cfRule>
    <cfRule type="expression" dxfId="12" priority="20" stopIfTrue="1">
      <formula>IF(AND(D5="",$C5=$X$4),TRUE)</formula>
    </cfRule>
    <cfRule type="expression" dxfId="11" priority="21" stopIfTrue="1">
      <formula>IF(FIND("!",D5),TRUE)</formula>
    </cfRule>
  </conditionalFormatting>
  <conditionalFormatting sqref="E5:E2504 R5:R2504">
    <cfRule type="expression" dxfId="10" priority="7" stopIfTrue="1">
      <formula>IF(AND(E5="",$C5=$X$4),TRUE)</formula>
    </cfRule>
    <cfRule type="expression" dxfId="9" priority="8" stopIfTrue="1">
      <formula>IF(FIND("!",E5),TRUE)</formula>
    </cfRule>
  </conditionalFormatting>
  <conditionalFormatting sqref="F5:F2504">
    <cfRule type="expression" dxfId="8" priority="5" stopIfTrue="1">
      <formula>IF(AND(LEN($A5)&gt;0,$A5&lt;&gt;$F5),TRUE,FALSE)</formula>
    </cfRule>
  </conditionalFormatting>
  <conditionalFormatting sqref="G5:G2504">
    <cfRule type="expression" dxfId="7"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8"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27">
      <c r="A1" s="393" t="str">
        <f ca="1">OFFSET(L!$C$1,MATCH("Checker"&amp;ADDRESS(ROW(),COLUMN(),4),L!$A:$A,0)-1,SL,,)</f>
        <v>To ensure all required fields have been populated before submitting to your customers review form for any line items highlighted in red</v>
      </c>
      <c r="B1" s="393"/>
      <c r="C1" s="393"/>
      <c r="D1" s="119" t="str">
        <f ca="1">OFFSET(L!$C$1,MATCH("Checker"&amp;ADDRESS(ROW(),COLUMN(),4),L!$A:$A,0)-1,SL,,)</f>
        <v>Required fields remaining to be completed</v>
      </c>
      <c r="E1" s="20" t="s">
        <v>779</v>
      </c>
    </row>
    <row r="2" spans="1:10" ht="15">
      <c r="A2" s="66" t="s">
        <v>869</v>
      </c>
      <c r="B2" s="67" t="str">
        <f>IF(F65=1,"Click here to return to Smelter List","")</f>
        <v>Click here to return to Smelter List</v>
      </c>
      <c r="C2" s="121" t="str">
        <f>IF(F65=1,"Click here to return to Product List","")</f>
        <v>Click here to return to Product List</v>
      </c>
      <c r="D2" s="151">
        <f ca="1">IF(H70=0,"0",H70)</f>
        <v>52</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41">
      <c r="A4" s="90" t="str">
        <f ca="1">Declaration!B8</f>
        <v>Company Name (*):</v>
      </c>
      <c r="B4" s="89">
        <f>Declaration!D8</f>
        <v>0</v>
      </c>
      <c r="C4" s="89" t="str">
        <f t="shared" ref="C4" ca="1" si="0">IF(H4=1,J4,I4)</f>
        <v>Provide your company name on the Declaration tab cell D8</v>
      </c>
      <c r="D4" s="95" t="str">
        <f>IF(H4=1,"Click here to enter Company Name","")</f>
        <v>Click here to enter Company Name</v>
      </c>
      <c r="E4" s="20" t="s">
        <v>1273</v>
      </c>
      <c r="F4" s="93">
        <v>1</v>
      </c>
      <c r="G4" s="70">
        <f t="shared" ref="G4" si="1">IF(B4=0,1,0)</f>
        <v>1</v>
      </c>
      <c r="H4" s="71">
        <f>F4*G4</f>
        <v>1</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f>Declaration!D9</f>
        <v>0</v>
      </c>
      <c r="C5" s="89" t="str">
        <f ca="1">IF(H5=1,J5,I5)</f>
        <v>Select the scope of declaration on the Declaration tab cell D9</v>
      </c>
      <c r="D5" s="95" t="str">
        <f>IF(H5=1,"Click here to enter Declaration Scope","")</f>
        <v>Click here to enter Declaration Scope</v>
      </c>
      <c r="E5" s="20" t="s">
        <v>1273</v>
      </c>
      <c r="F5" s="93">
        <v>1</v>
      </c>
      <c r="G5" s="70">
        <f>IF(B5=0,1,0)</f>
        <v>1</v>
      </c>
      <c r="H5" s="71">
        <f t="shared" ref="H5" si="2">F5*G5</f>
        <v>1</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f>Declaration!D15</f>
        <v>0</v>
      </c>
      <c r="C7" s="89" t="str">
        <f ca="1">IF(H7=1,J7,I7)</f>
        <v>Provide contact name in Declaration tab cell D15</v>
      </c>
      <c r="D7" s="95" t="str">
        <f>IF(H7=1,"Click here to enter Contact Name","")</f>
        <v>Click here to enter Contact Name</v>
      </c>
      <c r="E7" s="20" t="s">
        <v>1273</v>
      </c>
      <c r="F7" s="93">
        <v>1</v>
      </c>
      <c r="G7" s="70">
        <f>IF(B7=0,1,0)</f>
        <v>1</v>
      </c>
      <c r="H7" s="71">
        <f t="shared" si="3"/>
        <v>1</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f>Declaration!D16</f>
        <v>0</v>
      </c>
      <c r="C8" s="89" t="str">
        <f ca="1">IF(H8=1,J8,I8)</f>
        <v>Provide a valid email for contact in Declaration tab cell D16</v>
      </c>
      <c r="D8" s="95" t="str">
        <f>IF(H8=1,"Click here to enter Email-Contact","")</f>
        <v>Click here to enter Email-Contact</v>
      </c>
      <c r="E8" s="20" t="s">
        <v>1273</v>
      </c>
      <c r="F8" s="93">
        <v>1</v>
      </c>
      <c r="G8" s="70">
        <f>IF(ISNUMBER(SEARCH("@",B8)),0,1)</f>
        <v>1</v>
      </c>
      <c r="H8" s="71">
        <f t="shared" si="3"/>
        <v>1</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f>Declaration!D17</f>
        <v>0</v>
      </c>
      <c r="C9" s="89" t="str">
        <f ca="1">IF(H9=1,J9,I9)</f>
        <v>Provide a phone number for contact in Declaration tab cell D17</v>
      </c>
      <c r="D9" s="95" t="str">
        <f>IF(H9=1,"Click here to enter Phone-Contact","")</f>
        <v>Click here to enter Phone-Contact</v>
      </c>
      <c r="E9" s="20" t="s">
        <v>1273</v>
      </c>
      <c r="F9" s="93">
        <v>1</v>
      </c>
      <c r="G9" s="70">
        <f>IF(B9=0,1,0)</f>
        <v>1</v>
      </c>
      <c r="H9" s="71">
        <f t="shared" si="3"/>
        <v>1</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f>Declaration!D18</f>
        <v>0</v>
      </c>
      <c r="C10" s="89" t="str">
        <f t="shared" ref="C10" ca="1" si="4">IF(H10=1,J10,I10)</f>
        <v>Provide authorized company representative contact name in Declaration tab cell D18</v>
      </c>
      <c r="D10" s="95" t="str">
        <f>IF(H10=1,"Click here to enter an Authorized Company Representative's name","")</f>
        <v>Click here to enter an Authorized Company Representative's name</v>
      </c>
      <c r="E10" s="20" t="s">
        <v>1273</v>
      </c>
      <c r="F10" s="93">
        <v>1</v>
      </c>
      <c r="G10" s="70">
        <f t="shared" ref="G10" si="5">IF(B10=0,1,0)</f>
        <v>1</v>
      </c>
      <c r="H10" s="71">
        <f t="shared" si="3"/>
        <v>1</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f>Declaration!D20</f>
        <v>0</v>
      </c>
      <c r="C11" s="89" t="str">
        <f ca="1">IF(H11=1,J11,I11)</f>
        <v>Provide an email for authorized company representative on Declaration tab cell D20</v>
      </c>
      <c r="D11" s="95" t="str">
        <f>IF(H11=1,"Click here to enter Representative's email","")</f>
        <v>Click here to enter Representative's email</v>
      </c>
      <c r="E11" s="20" t="s">
        <v>1273</v>
      </c>
      <c r="F11" s="93">
        <v>1</v>
      </c>
      <c r="G11" s="70">
        <f>IF(ISNUMBER(SEARCH("@",B11)),0,1)</f>
        <v>1</v>
      </c>
      <c r="H11" s="71">
        <f t="shared" si="3"/>
        <v>1</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0</v>
      </c>
      <c r="C12" s="89" t="str">
        <f ca="1">IF(H12=1,J12,I12)</f>
        <v>Provide date the form was completed on Declaration tab cell D22</v>
      </c>
      <c r="D12" s="95" t="str">
        <f>IF(H12=1,"Click here to enter Date of Completion","")</f>
        <v>Click here to enter Date of Completion</v>
      </c>
      <c r="E12" s="20" t="s">
        <v>1273</v>
      </c>
      <c r="F12" s="93">
        <v>1</v>
      </c>
      <c r="G12" s="70">
        <f>IF(B12=0,1,0)</f>
        <v>1</v>
      </c>
      <c r="H12" s="71">
        <f t="shared" si="3"/>
        <v>1</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783</v>
      </c>
      <c r="F13" s="93"/>
      <c r="H13" s="19">
        <f t="shared" si="3"/>
        <v>0</v>
      </c>
    </row>
    <row r="14" spans="1:10" ht="27.5">
      <c r="A14" s="90" t="str">
        <f ca="1">Declaration!B26</f>
        <v>Tantalum  (*)</v>
      </c>
      <c r="B14" s="89">
        <f>Declaration!D26</f>
        <v>0</v>
      </c>
      <c r="C14" s="89" t="str">
        <f ca="1">IF(H14=1,J14,I14)</f>
        <v>Declare if Tantalum is intentionally added to your products on Declaration tab cell D26</v>
      </c>
      <c r="D14" s="95" t="str">
        <f>IF(H14=1,"Click here to answer question 1 for Tantalum","")</f>
        <v>Click here to answer question 1 for Tantalum</v>
      </c>
      <c r="E14" s="20" t="s">
        <v>779</v>
      </c>
      <c r="F14" s="93">
        <v>1</v>
      </c>
      <c r="G14" s="70">
        <f>IF(B14=0,1,0)</f>
        <v>1</v>
      </c>
      <c r="H14" s="71">
        <f t="shared" si="3"/>
        <v>1</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f>Declaration!D27</f>
        <v>0</v>
      </c>
      <c r="C15" s="89" t="str">
        <f ca="1">IF(H15=1,J15,I15)</f>
        <v>Declare if Tin is intentionally added to your products on Declaration tab cell D27</v>
      </c>
      <c r="D15" s="95" t="str">
        <f>IF(H15=1,"Click here to answer question 1 for Tin","")</f>
        <v>Click here to answer question 1 for Tin</v>
      </c>
      <c r="E15" s="20" t="s">
        <v>780</v>
      </c>
      <c r="F15" s="93">
        <v>1</v>
      </c>
      <c r="G15" s="70">
        <f>IF(B15=0,1,0)</f>
        <v>1</v>
      </c>
      <c r="H15" s="71">
        <f t="shared" si="3"/>
        <v>1</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f>Declaration!D28</f>
        <v>0</v>
      </c>
      <c r="C16" s="89" t="str">
        <f ca="1">IF(H16=1,J16,I16)</f>
        <v>Declare if Gold is intentionally added to your products on Declaration tab cell D28</v>
      </c>
      <c r="D16" s="95" t="str">
        <f>IF(H16=1,"Click here to answer question 1 for Gold","")</f>
        <v>Click here to answer question 1 for Gold</v>
      </c>
      <c r="E16" s="20" t="s">
        <v>780</v>
      </c>
      <c r="F16" s="93">
        <v>1</v>
      </c>
      <c r="G16" s="70">
        <f>IF(B16=0,1,0)</f>
        <v>1</v>
      </c>
      <c r="H16" s="71">
        <f t="shared" si="3"/>
        <v>1</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Tungsten  (*)</v>
      </c>
      <c r="B17" s="89">
        <f>Declaration!D29</f>
        <v>0</v>
      </c>
      <c r="C17" s="89" t="str">
        <f ca="1">IF(H17=1,J17,I17)</f>
        <v>Declare if Tungsten is intentionally added to your products on Declaration tab cell D29</v>
      </c>
      <c r="D17" s="95" t="str">
        <f>IF(H17=1,"Click here to answer question 1 for Tungsten","")</f>
        <v>Click here to answer question 1 for Tungsten</v>
      </c>
      <c r="E17" s="20" t="s">
        <v>780</v>
      </c>
      <c r="F17" s="93">
        <v>1</v>
      </c>
      <c r="G17" s="70">
        <f>IF(B17=0,1,0)</f>
        <v>1</v>
      </c>
      <c r="H17" s="71">
        <f t="shared" si="3"/>
        <v>1</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781</v>
      </c>
      <c r="F18" s="93"/>
      <c r="J18" s="148"/>
    </row>
    <row r="19" spans="1:10" ht="41">
      <c r="A19" s="90" t="str">
        <f ca="1">Declaration!B32</f>
        <v>Tantalum  (*)</v>
      </c>
      <c r="B19" s="89">
        <f>IF($B$14="Yes",Declaration!D32,0)</f>
        <v>0</v>
      </c>
      <c r="C19" s="89" t="str">
        <f ca="1">IF(H19=1,J19,I19)</f>
        <v>Declare if Tantalum is necessary to the production of your products and contained within the finished products declared in Declaration tab cell D32</v>
      </c>
      <c r="D19" s="97" t="str">
        <f>IF(H19=1,"Click here to answer question 2 for Tantalum","")</f>
        <v>Click here to answer question 2 for Tantalum</v>
      </c>
      <c r="E19" s="20" t="s">
        <v>780</v>
      </c>
      <c r="F19" s="94">
        <f>IF(B$14="No",0,1)</f>
        <v>1</v>
      </c>
      <c r="G19" s="70">
        <f>IF(B19=0,1,0)</f>
        <v>1</v>
      </c>
      <c r="H19" s="71">
        <f>F19*G19</f>
        <v>1</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f>IF($B$15="Yes",Declaration!D33,0)</f>
        <v>0</v>
      </c>
      <c r="C20" s="89" t="str">
        <f ca="1">IF(H20=1,J20,I20)</f>
        <v>Declare if Tin is necessary to the production of your products and contained within the finished products declared in Declaration tab cell D33</v>
      </c>
      <c r="D20" s="97" t="str">
        <f>IF(H20=1,"Click here to answer question 2 for Tin","")</f>
        <v>Click here to answer question 2 for Tin</v>
      </c>
      <c r="E20" s="20" t="s">
        <v>780</v>
      </c>
      <c r="F20" s="94">
        <f>IF(B$15="No",0,1)</f>
        <v>1</v>
      </c>
      <c r="G20" s="70">
        <f>IF(B20=0,1,0)</f>
        <v>1</v>
      </c>
      <c r="H20" s="71">
        <f>F20*G20</f>
        <v>1</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f>IF($B$16="Yes",Declaration!D34,0)</f>
        <v>0</v>
      </c>
      <c r="C21" s="89" t="str">
        <f ca="1">IF(H21=1,J21,I21)</f>
        <v>Declare if Gold is necessary to the production of your products and contained within the finished products declared in Declaration tab cell D34</v>
      </c>
      <c r="D21" s="97" t="str">
        <f>IF(H21=1,"Click here to answer question 2 for Gold","")</f>
        <v>Click here to answer question 2 for Gold</v>
      </c>
      <c r="E21" s="20" t="s">
        <v>780</v>
      </c>
      <c r="F21" s="94">
        <f>IF(B$16="No",0,1)</f>
        <v>1</v>
      </c>
      <c r="G21" s="70">
        <f>IF(B21=0,1,0)</f>
        <v>1</v>
      </c>
      <c r="H21" s="71">
        <f>F21*G21</f>
        <v>1</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Tungsten  (*)</v>
      </c>
      <c r="B22" s="89">
        <f>IF($B$17="Yes",Declaration!D35,0)</f>
        <v>0</v>
      </c>
      <c r="C22" s="89" t="str">
        <f ca="1">IF(H22=1,J22,I22)</f>
        <v>Declare if Tungsten is necessary to the production of your products and contained within the finished products declared in Declaration tab cell D35</v>
      </c>
      <c r="D22" s="97" t="str">
        <f>IF(H22=1,"Click here to answer question 2 for Tungsten","")</f>
        <v>Click here to answer question 2 for Tungsten</v>
      </c>
      <c r="E22" s="20" t="s">
        <v>780</v>
      </c>
      <c r="F22" s="94">
        <f>IF(B$17="No",0,1)</f>
        <v>1</v>
      </c>
      <c r="G22" s="70">
        <f>IF(B22=0,1,0)</f>
        <v>1</v>
      </c>
      <c r="H22" s="71">
        <f>F22*G22</f>
        <v>1</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41">
      <c r="A24" s="90" t="str">
        <f ca="1">Declaration!B38</f>
        <v>Tantalum  (*)</v>
      </c>
      <c r="B24" s="89">
        <f>IF(AND($B$14="Yes",$B$19="Yes"),Declaration!D38,0)</f>
        <v>0</v>
      </c>
      <c r="C24" s="89" t="str">
        <f ca="1">IF(H24=1,J24,I24)</f>
        <v>Declare if Tantalum used within the scope of products declared within this survey response originated from the DRC or an adjoining Country on the Declaration tab cell D38</v>
      </c>
      <c r="D24" s="97" t="str">
        <f>IF(H24=1,"Click here to answer question 3 for Tantalum","")</f>
        <v>Click here to answer question 3 for Tantalum</v>
      </c>
      <c r="E24" s="20" t="s">
        <v>780</v>
      </c>
      <c r="F24" s="94">
        <f>IF(OR(B14="No",B19="No"),0,1)</f>
        <v>1</v>
      </c>
      <c r="G24" s="70">
        <f t="shared" ref="G24" si="6">IF(B24=0,1,0)</f>
        <v>1</v>
      </c>
      <c r="H24" s="71">
        <f t="shared" ref="H24" si="7">F24*G24</f>
        <v>1</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f>IF(AND($B$15="Yes",$B$20="Yes"),Declaration!D39,0)</f>
        <v>0</v>
      </c>
      <c r="C25" s="89" t="str">
        <f ca="1">IF(H25=1,J25,I25)</f>
        <v>Declare if Tin used within the scope of products declared within this survey response originated from the DRC or an adjoining Country on the Declaration tab cell D39</v>
      </c>
      <c r="D25" s="97" t="str">
        <f>IF(H25=1,"Click here to answer question 3 for Tin","")</f>
        <v>Click here to answer question 3 for Tin</v>
      </c>
      <c r="E25" s="20" t="s">
        <v>780</v>
      </c>
      <c r="F25" s="94">
        <f>IF(OR(B15="No",B20="No"),0,1)</f>
        <v>1</v>
      </c>
      <c r="G25" s="70">
        <f>IF(B25=0,1,0)</f>
        <v>1</v>
      </c>
      <c r="H25" s="71">
        <f>F25*G25</f>
        <v>1</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f>IF(AND($B$16="Yes",$B$21="Yes"),Declaration!D40,0)</f>
        <v>0</v>
      </c>
      <c r="C26" s="89" t="str">
        <f ca="1">IF(H26=1,J26,I26)</f>
        <v>Declare if Gold used within the scope of products declared within this survey response originated from the DRC or an adjoining Country on the Declaration tab cell D40</v>
      </c>
      <c r="D26" s="97" t="str">
        <f>IF(H26=1,"Click here to answer question 3 for Gold","")</f>
        <v>Click here to answer question 3 for Gold</v>
      </c>
      <c r="E26" s="20" t="s">
        <v>780</v>
      </c>
      <c r="F26" s="94">
        <f>IF(OR(B16="No",B21="No"),0,1)</f>
        <v>1</v>
      </c>
      <c r="G26" s="70">
        <f>IF(B26=0,1,0)</f>
        <v>1</v>
      </c>
      <c r="H26" s="71">
        <f>F26*G26</f>
        <v>1</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Tungsten  (*)</v>
      </c>
      <c r="B27" s="89">
        <f>IF(AND($B$17="Yes",$B$22="Yes"),Declaration!D41,0)</f>
        <v>0</v>
      </c>
      <c r="C27" s="89" t="str">
        <f ca="1">IF(H27=1,J27,I27)</f>
        <v>Declare if Tungsten used within the scope of products declared within this survey response originated from the DRC or an adjoining Country on the Declaration tab cell D41</v>
      </c>
      <c r="D27" s="97" t="str">
        <f>IF(H27=1,"Click here to answer question 3 for Tungsten","")</f>
        <v>Click here to answer question 3 for Tungsten</v>
      </c>
      <c r="E27" s="20" t="s">
        <v>780</v>
      </c>
      <c r="F27" s="94">
        <f>IF(OR(B17="No",B22="No"),0,1)</f>
        <v>1</v>
      </c>
      <c r="G27" s="70">
        <f>IF(B27=0,1,0)</f>
        <v>1</v>
      </c>
      <c r="H27" s="71">
        <f>F27*G27</f>
        <v>1</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Tantalum  (*)</v>
      </c>
      <c r="B29" s="89">
        <f>IF(AND($B$14="Yes",$B$19="Yes"),Declaration!D44,0)</f>
        <v>0</v>
      </c>
      <c r="C29" s="89" t="str">
        <f ca="1">IF(H29=1,J29,I29)</f>
        <v>Declare if Tantalum used within the scope of products declared within this survey response originated from a conflict-affected and high-risk area on the Declaration tab cell D44</v>
      </c>
      <c r="D29" s="260" t="str">
        <f>IF(H29=1,"Click here to answer question 4 for Tantalum","")</f>
        <v>Click here to answer question 4 for Tantalum</v>
      </c>
      <c r="E29" s="20"/>
      <c r="F29" s="94">
        <f>F24</f>
        <v>1</v>
      </c>
      <c r="G29" s="70">
        <f t="shared" ref="G29" si="8">IF(B29=0,1,0)</f>
        <v>1</v>
      </c>
      <c r="H29" s="71">
        <f t="shared" ref="H29" si="9">F29*G29</f>
        <v>1</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f>IF(AND($B$15="Yes",$B$20="Yes"),Declaration!D45,0)</f>
        <v>0</v>
      </c>
      <c r="C30" s="89" t="str">
        <f ca="1">IF(H30=1,J30,I30)</f>
        <v>Declare if Tin used within the scope of products declared within this survey response originated from a conflict-affected and high-risk area on the Declaration tab cell D45</v>
      </c>
      <c r="D30" s="260" t="str">
        <f>IF(H30=1,"Click here to answer question 4 for Tin","")</f>
        <v>Click here to answer question 4 for Tin</v>
      </c>
      <c r="E30" s="20"/>
      <c r="F30" s="94">
        <f>F25</f>
        <v>1</v>
      </c>
      <c r="G30" s="70">
        <f>IF(B30=0,1,0)</f>
        <v>1</v>
      </c>
      <c r="H30" s="71">
        <f>F30*G30</f>
        <v>1</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f>IF(AND($B$16="Yes",$B$21="Yes"),Declaration!D46,0)</f>
        <v>0</v>
      </c>
      <c r="C31" s="89" t="str">
        <f ca="1">IF(H31=1,J31,I31)</f>
        <v>Declare if Gold used within the scope of products declared within this survey response originated from a conflict-affected and high-risk area on the Declaration tab cell D46</v>
      </c>
      <c r="D31" s="260" t="str">
        <f>IF(H31=1,"Click here to answer question 4 for Gold","")</f>
        <v>Click here to answer question 4 for Gold</v>
      </c>
      <c r="E31" s="20"/>
      <c r="F31" s="94">
        <f>F26</f>
        <v>1</v>
      </c>
      <c r="G31" s="70">
        <f>IF(B31=0,1,0)</f>
        <v>1</v>
      </c>
      <c r="H31" s="71">
        <f>F31*G31</f>
        <v>1</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Tungsten  (*)</v>
      </c>
      <c r="B32" s="89">
        <f>IF(AND($B$17="Yes",$B$22="Yes"),Declaration!D47,0)</f>
        <v>0</v>
      </c>
      <c r="C32" s="89" t="str">
        <f ca="1">IF(H32=1,J32,I32)</f>
        <v>Declare if Tungsten used within the scope of products declared within this survey response originated from a conflict-affected and high-risk area on the Declaration tab cell D47</v>
      </c>
      <c r="D32" s="260" t="str">
        <f>IF(H32=1,"Click here to answer question 4 for Tungsten","")</f>
        <v>Click here to answer question 4 for Tungsten</v>
      </c>
      <c r="E32" s="20"/>
      <c r="F32" s="94">
        <f>F27</f>
        <v>1</v>
      </c>
      <c r="G32" s="70">
        <f>IF(B32=0,1,0)</f>
        <v>1</v>
      </c>
      <c r="H32" s="71">
        <f>F32*G32</f>
        <v>1</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1273</v>
      </c>
      <c r="F33" s="93"/>
      <c r="J33" s="148"/>
    </row>
    <row r="34" spans="1:10" ht="41">
      <c r="A34" s="90" t="str">
        <f ca="1">Declaration!B50</f>
        <v>Tantalum  (*)</v>
      </c>
      <c r="B34" s="89">
        <f>IF(AND($B$14="Yes",$B$19="Yes"),Declaration!D50,0)</f>
        <v>0</v>
      </c>
      <c r="C34" s="89" t="str">
        <f ca="1">IF(H34=1,J34,I34)</f>
        <v>Declare if Tantalum used within the scope of products declared within this survey response originated entirely from a recycled or scrap source on the Declaration tab cell D44</v>
      </c>
      <c r="D34" s="260" t="str">
        <f>IF(H34=1,"Click here to answer question 5 for Tantalum","")</f>
        <v>Click here to answer question 5 for Tantalum</v>
      </c>
      <c r="E34" s="20" t="s">
        <v>1273</v>
      </c>
      <c r="F34" s="94">
        <f>F24</f>
        <v>1</v>
      </c>
      <c r="G34" s="70">
        <f>IF(B34=0,1,0)</f>
        <v>1</v>
      </c>
      <c r="H34" s="71">
        <f>F34*G34</f>
        <v>1</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f>IF(AND($B$15="Yes",$B$20="Yes"),Declaration!D51,0)</f>
        <v>0</v>
      </c>
      <c r="C35" s="89" t="str">
        <f ca="1">IF(H35=1,J35,I35)</f>
        <v>Declare if Tin used within the scope of products declared within this survey response originated entirely from a recycled or scrap source on the Declaration tab cell D45</v>
      </c>
      <c r="D35" s="260" t="str">
        <f>IF(H35=1,"Click here to answer question 5 for Tin","")</f>
        <v>Click here to answer question 5 for Tin</v>
      </c>
      <c r="E35" s="20" t="s">
        <v>1273</v>
      </c>
      <c r="F35" s="94">
        <f>F25</f>
        <v>1</v>
      </c>
      <c r="G35" s="70">
        <f>IF(B35=0,1,0)</f>
        <v>1</v>
      </c>
      <c r="H35" s="71">
        <f>F35*G35</f>
        <v>1</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f>IF(AND($B$16="Yes",$B$21="Yes"),Declaration!D52,0)</f>
        <v>0</v>
      </c>
      <c r="C36" s="89" t="str">
        <f ca="1">IF(H36=1,J36,I36)</f>
        <v>Declare if Gold used within the scope of products declared within this survey response originated entirely from a recycled or scrap source on the Declaration tab cell D46</v>
      </c>
      <c r="D36" s="260" t="str">
        <f>IF(H36=1,"Click here to answer question 5 for Gold","")</f>
        <v>Click here to answer question 5 for Gold</v>
      </c>
      <c r="E36" s="20" t="s">
        <v>1273</v>
      </c>
      <c r="F36" s="94">
        <f>F26</f>
        <v>1</v>
      </c>
      <c r="G36" s="70">
        <f>IF(B36=0,1,0)</f>
        <v>1</v>
      </c>
      <c r="H36" s="71">
        <f>F36*G36</f>
        <v>1</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Tungsten  (*)</v>
      </c>
      <c r="B37" s="89">
        <f>IF(AND($B$17="Yes",$B$22="Yes"),Declaration!D53,0)</f>
        <v>0</v>
      </c>
      <c r="C37" s="89" t="str">
        <f ca="1">IF(H37=1,J37,I37)</f>
        <v>Declare if Tungsten used within the scope of products declared within this survey response originated entirely from a recycled or scrap source on the Declaration tab cell D47</v>
      </c>
      <c r="D37" s="260" t="str">
        <f>IF(H37=1,"Click here to answer question 5 for Tungsten","")</f>
        <v>Click here to answer question 5 for Tungsten</v>
      </c>
      <c r="E37" s="20" t="s">
        <v>1273</v>
      </c>
      <c r="F37" s="94">
        <f>F27</f>
        <v>1</v>
      </c>
      <c r="G37" s="70">
        <f>IF(B37=0,1,0)</f>
        <v>1</v>
      </c>
      <c r="H37" s="71">
        <f>F37*G37</f>
        <v>1</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780</v>
      </c>
      <c r="F38" s="93"/>
    </row>
    <row r="39" spans="1:10" ht="27.5">
      <c r="A39" s="90" t="str">
        <f ca="1">Declaration!B56</f>
        <v>Tantalum  (*)</v>
      </c>
      <c r="B39" s="268">
        <f>IF(AND($B$14="Yes",$B$19="Yes"),Declaration!D56,0)</f>
        <v>0</v>
      </c>
      <c r="C39" s="89" t="str">
        <f ca="1">IF(H39=1,J39,I39)</f>
        <v>Provide % of completeness of supplier's smelter information on Declaration tab cell D50</v>
      </c>
      <c r="D39" s="261" t="str">
        <f>IF(H39=1,"Click here to answer question 6 for Tantalum","")</f>
        <v>Click here to answer question 6 for Tantalum</v>
      </c>
      <c r="E39" s="20" t="s">
        <v>779</v>
      </c>
      <c r="F39" s="94">
        <f>F24</f>
        <v>1</v>
      </c>
      <c r="G39" s="70">
        <f>IF(B39=0,1,0)</f>
        <v>1</v>
      </c>
      <c r="H39" s="71">
        <f>F39*G39</f>
        <v>1</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8">
        <f>IF(AND($B$15="Yes",$B$20="Yes"),Declaration!D57,0)</f>
        <v>0</v>
      </c>
      <c r="C40" s="89" t="str">
        <f ca="1">IF(H40=1,J40,I40)</f>
        <v>Provide % of completeness of supplier's smelter information on Declaration tab cell D51</v>
      </c>
      <c r="D40" s="261" t="str">
        <f>IF(H40=1,"Click here to answer question 6 for Tin","")</f>
        <v>Click here to answer question 6 for Tin</v>
      </c>
      <c r="E40" s="20" t="s">
        <v>779</v>
      </c>
      <c r="F40" s="94">
        <f>F25</f>
        <v>1</v>
      </c>
      <c r="G40" s="70">
        <f>IF(B40=0,1,0)</f>
        <v>1</v>
      </c>
      <c r="H40" s="71">
        <f>F40*G40</f>
        <v>1</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8">
        <f>IF(AND($B$16="Yes",$B$21="Yes"),Declaration!D58,0)</f>
        <v>0</v>
      </c>
      <c r="C41" s="89" t="str">
        <f ca="1">IF(H41=1,J41,I41)</f>
        <v>Provide % of completeness of supplier's smelter information on Declaration tab cell D52</v>
      </c>
      <c r="D41" s="261" t="str">
        <f>IF(H41=1,"Click here to answer question 6 for Gold","")</f>
        <v>Click here to answer question 6 for Gold</v>
      </c>
      <c r="E41" s="20" t="s">
        <v>779</v>
      </c>
      <c r="F41" s="94">
        <f>F26</f>
        <v>1</v>
      </c>
      <c r="G41" s="70">
        <f>IF(B41=0,1,0)</f>
        <v>1</v>
      </c>
      <c r="H41" s="71">
        <f>F41*G41</f>
        <v>1</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Tungsten  (*)</v>
      </c>
      <c r="B42" s="268">
        <f>IF(AND($B$17="Yes",$B$22="Yes"),Declaration!D59,0)</f>
        <v>0</v>
      </c>
      <c r="C42" s="89" t="str">
        <f ca="1">IF(H42=1,J42,I42)</f>
        <v>Provide % of completeness of supplier's smelter information on Declaration tab cell D53</v>
      </c>
      <c r="D42" s="261" t="str">
        <f>IF(H42=1,"Click here to answer question 6 for Tungsten","")</f>
        <v>Click here to answer question 6 for Tungsten</v>
      </c>
      <c r="E42" s="20" t="s">
        <v>779</v>
      </c>
      <c r="F42" s="94">
        <f>F27</f>
        <v>1</v>
      </c>
      <c r="G42" s="70">
        <f>IF(B42=0,1,0)</f>
        <v>1</v>
      </c>
      <c r="H42" s="71">
        <f>F42*G42</f>
        <v>1</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781</v>
      </c>
      <c r="F43" s="93"/>
    </row>
    <row r="44" spans="1:10" ht="54.5">
      <c r="A44" s="90" t="str">
        <f ca="1">Declaration!B62</f>
        <v>Tantalum  (*)</v>
      </c>
      <c r="B44" s="89">
        <f>IF(AND($B$14="Yes",$B$19="Yes"),Declaration!D62,0)</f>
        <v>0</v>
      </c>
      <c r="C44" s="89" t="str">
        <f ca="1">IF(H44=1,J44,I44)</f>
        <v>Declare if all smelter names have been provided in this survey response under the scope of products declared on the Declaration tab cell D56</v>
      </c>
      <c r="D44" s="260" t="str">
        <f>IF(H44=1,"Click here to answer question 7 for Tantalum","")</f>
        <v>Click here to answer question 7 for Tantalum</v>
      </c>
      <c r="E44" s="20" t="s">
        <v>1269</v>
      </c>
      <c r="F44" s="94">
        <f>F24</f>
        <v>1</v>
      </c>
      <c r="G44" s="70">
        <f>IF(B44=0,1,0)</f>
        <v>1</v>
      </c>
      <c r="H44" s="71">
        <f>F44*G44</f>
        <v>1</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f>IF(AND($B$15="Yes",$B$20="Yes"),Declaration!D63,0)</f>
        <v>0</v>
      </c>
      <c r="C45" s="89" t="str">
        <f ca="1">IF(H45=1,J45,I45)</f>
        <v>Declare if all smelter names have been provided in this survey response under the scope of products declared on the Declaration tab cell D57</v>
      </c>
      <c r="D45" s="260" t="str">
        <f>IF(H45=1,"Click here to answer question 7 for Tin","")</f>
        <v>Click here to answer question 7 for Tin</v>
      </c>
      <c r="E45" s="20" t="s">
        <v>1269</v>
      </c>
      <c r="F45" s="94">
        <f>F25</f>
        <v>1</v>
      </c>
      <c r="G45" s="70">
        <f>IF(B45=0,1,0)</f>
        <v>1</v>
      </c>
      <c r="H45" s="71">
        <f>F45*G45</f>
        <v>1</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f>IF(AND($B$16="Yes",$B$21="Yes"),Declaration!D64,0)</f>
        <v>0</v>
      </c>
      <c r="C46" s="89" t="str">
        <f ca="1">IF(H46=1,J46,I46)</f>
        <v>Declare if all smelter names have been provided in this survey response under the scope of products declared on the Declaration tab cell D58</v>
      </c>
      <c r="D46" s="260" t="str">
        <f>IF(H46=1,"Click here to answer question 7 for Gold","")</f>
        <v>Click here to answer question 7 for Gold</v>
      </c>
      <c r="E46" s="20" t="s">
        <v>1269</v>
      </c>
      <c r="F46" s="94">
        <f>F26</f>
        <v>1</v>
      </c>
      <c r="G46" s="70">
        <f>IF(B46=0,1,0)</f>
        <v>1</v>
      </c>
      <c r="H46" s="71">
        <f>F46*G46</f>
        <v>1</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Tungsten  (*)</v>
      </c>
      <c r="B47" s="89">
        <f>IF(AND($B$17="Yes",$B$22="Yes"),Declaration!D65,0)</f>
        <v>0</v>
      </c>
      <c r="C47" s="89" t="str">
        <f ca="1">IF(H47=1,J47,I47)</f>
        <v>Declare if all smelter names have been provided in this survey response which the scope of products declared on the Declaration tab cell D59</v>
      </c>
      <c r="D47" s="260" t="str">
        <f>IF(H47=1,"Click here to answer question 7 for Tungsten","")</f>
        <v>Click here to answer question 7 for Tungsten</v>
      </c>
      <c r="E47" s="20" t="s">
        <v>1269</v>
      </c>
      <c r="F47" s="94">
        <f>F27</f>
        <v>1</v>
      </c>
      <c r="G47" s="70">
        <f>IF(B47=0,1,0)</f>
        <v>1</v>
      </c>
      <c r="H47" s="71">
        <f>F47*G47</f>
        <v>1</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782</v>
      </c>
      <c r="F48" s="93"/>
    </row>
    <row r="49" spans="1:10" ht="41">
      <c r="A49" s="90" t="str">
        <f ca="1">Declaration!B68</f>
        <v>Tantalum  (*)</v>
      </c>
      <c r="B49" s="89">
        <f>IF(AND($B$14="Yes",$B$19="Yes"),Declaration!D68,0)</f>
        <v>0</v>
      </c>
      <c r="C49" s="89" t="str">
        <f ca="1">IF(H49=1,J49,I49)</f>
        <v>Declare if all applicable Tantalum smelter information has been provided on Declaration tab cell D62</v>
      </c>
      <c r="D49" s="261" t="str">
        <f>IF(H49=1,"Click here to answer question 8 for Tantalum","")</f>
        <v>Click here to answer question 8 for Tantalum</v>
      </c>
      <c r="E49" s="20" t="s">
        <v>780</v>
      </c>
      <c r="F49" s="94">
        <f>F24</f>
        <v>1</v>
      </c>
      <c r="G49" s="70">
        <f>IF(B49=0,1,0)</f>
        <v>1</v>
      </c>
      <c r="H49" s="71">
        <f>F49*G49</f>
        <v>1</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f>IF(AND($B$15="Yes",$B$20="Yes"),Declaration!D69,0)</f>
        <v>0</v>
      </c>
      <c r="C50" s="89" t="str">
        <f ca="1">IF(H50=1,J50,I50)</f>
        <v>Declare if all applicable Tin smelter information has been provided on Declaration tab cell D63</v>
      </c>
      <c r="D50" s="261" t="str">
        <f>IF(H50=1,"Click here to answer question 8 for Tin","")</f>
        <v>Click here to answer question 8 for Tin</v>
      </c>
      <c r="E50" s="20" t="s">
        <v>780</v>
      </c>
      <c r="F50" s="94">
        <f>F25</f>
        <v>1</v>
      </c>
      <c r="G50" s="70">
        <f>IF(B50=0,1,0)</f>
        <v>1</v>
      </c>
      <c r="H50" s="71">
        <f>F50*G50</f>
        <v>1</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f>IF(AND($B$16="Yes",$B$21="Yes"),Declaration!D70,0)</f>
        <v>0</v>
      </c>
      <c r="C51" s="89" t="str">
        <f ca="1">IF(H51=1,J51,I51)</f>
        <v>Declare if all applicable Gold smelter information has been provided on Declaration tab cell D64</v>
      </c>
      <c r="D51" s="261" t="str">
        <f>IF(H51=1,"Click here to answer question 8 for Gold","")</f>
        <v>Click here to answer question 8 for Gold</v>
      </c>
      <c r="E51" s="20" t="s">
        <v>780</v>
      </c>
      <c r="F51" s="94">
        <f>F26</f>
        <v>1</v>
      </c>
      <c r="G51" s="70">
        <f>IF(B51=0,1,0)</f>
        <v>1</v>
      </c>
      <c r="H51" s="71">
        <f>F51*G51</f>
        <v>1</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Tungsten  (*)</v>
      </c>
      <c r="B52" s="89">
        <f>IF(AND($B$17="Yes",$B$22="Yes"),Declaration!D71,0)</f>
        <v>0</v>
      </c>
      <c r="C52" s="89" t="str">
        <f ca="1">IF(H52=1,J52,I52)</f>
        <v>Declare if all applicable Tungsten smelter information has been provided on Declaration tab cell D65</v>
      </c>
      <c r="D52" s="261" t="str">
        <f>IF(H52=1,"Click here to answer question 8 for Tungsten","")</f>
        <v>Click here to answer question 8 for Tungsten</v>
      </c>
      <c r="E52" s="20" t="s">
        <v>780</v>
      </c>
      <c r="F52" s="94">
        <f>F27</f>
        <v>1</v>
      </c>
      <c r="G52" s="70">
        <f>IF(B52=0,1,0)</f>
        <v>1</v>
      </c>
      <c r="H52" s="71">
        <f>F52*G52</f>
        <v>1</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428</v>
      </c>
      <c r="F53" s="93"/>
      <c r="G53" s="93"/>
      <c r="H53" s="93"/>
    </row>
    <row r="54" spans="1:10" ht="41">
      <c r="A54" s="89" t="str">
        <f ca="1">Declaration!B75</f>
        <v>A. Have you established a responsible minerals sourcing policy? (*)</v>
      </c>
      <c r="B54" s="89">
        <f>Declaration!D75</f>
        <v>0</v>
      </c>
      <c r="C54" s="89" t="str">
        <f t="shared" ref="C54:C60" ca="1" si="10">IF(H54=1,J54,I54)</f>
        <v>Answer if your company has a responsible minerals sourcing policy on the Declaration tab cell D75</v>
      </c>
      <c r="D54" s="95" t="str">
        <f>IF(H54=1,"Click here to answer question (A)","")</f>
        <v>Click here to answer question (A)</v>
      </c>
      <c r="E54" s="20" t="s">
        <v>1273</v>
      </c>
      <c r="F54" s="94">
        <f>IF(SUM(F$24:F$27)=0,0,1)</f>
        <v>1</v>
      </c>
      <c r="G54" s="70">
        <f>IF(B54=0,1,0)</f>
        <v>1</v>
      </c>
      <c r="H54" s="71">
        <f t="shared" ref="H54:H60" si="11">F54*G54</f>
        <v>1</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f>Declaration!D77</f>
        <v>0</v>
      </c>
      <c r="C55" s="89" t="str">
        <f t="shared" ca="1" si="10"/>
        <v>Answer if your company has made your responsible minerals sourcing policy publically available on your website on the Declaration tab cell D77</v>
      </c>
      <c r="D55" s="95" t="str">
        <f>IF(H55=1,"Click here to answer question (B)","")</f>
        <v>Click here to answer question (B)</v>
      </c>
      <c r="E55" s="20" t="s">
        <v>1273</v>
      </c>
      <c r="F55" s="94">
        <f t="shared" ref="F55" si="12">F$54</f>
        <v>1</v>
      </c>
      <c r="G55" s="70">
        <f>IF(B55=0,1,0)</f>
        <v>1</v>
      </c>
      <c r="H55" s="71">
        <f t="shared" si="11"/>
        <v>1</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41">
      <c r="A57" s="89" t="str">
        <f ca="1">Declaration!B79</f>
        <v>C. Do you require your direct suppliers to source the 3TG from smelters whose due diligence practices have been validated by an independent third party audit program? (*)</v>
      </c>
      <c r="B57" s="89">
        <f>Declaration!D79</f>
        <v>0</v>
      </c>
      <c r="C57" s="89" t="str">
        <f t="shared" ca="1" si="10"/>
        <v>Answer if you require your direct suppliers to source from smelters whose due diligence practices have been validated by an independent third-party audit program, like the Responsible Minerals Assurance Process, on Declaration tab cell D79</v>
      </c>
      <c r="D57" s="95" t="str">
        <f>IF(H57=1,"Click here to answer question (C)","")</f>
        <v>Click here to answer question (C)</v>
      </c>
      <c r="E57" s="20" t="s">
        <v>1273</v>
      </c>
      <c r="F57" s="94">
        <f>F$54</f>
        <v>1</v>
      </c>
      <c r="G57" s="70">
        <f>IF(B57=0,1,0)</f>
        <v>1</v>
      </c>
      <c r="H57" s="71">
        <f t="shared" si="11"/>
        <v>1</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f>Declaration!D81</f>
        <v>0</v>
      </c>
      <c r="C58" s="89" t="str">
        <f t="shared" ca="1" si="10"/>
        <v>Answer if you have implemented due diligence measures for responsible sourcing on Declaration tab cell D81</v>
      </c>
      <c r="D58" s="95" t="str">
        <f>IF(H58=1,"Click here to answer question (D)","")</f>
        <v>Click here to answer question (D)</v>
      </c>
      <c r="E58" s="20" t="s">
        <v>1273</v>
      </c>
      <c r="F58" s="94">
        <f>F$54</f>
        <v>1</v>
      </c>
      <c r="G58" s="70">
        <f>IF(B58=0,1,0)</f>
        <v>1</v>
      </c>
      <c r="H58" s="71">
        <f t="shared" si="11"/>
        <v>1</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f>Declaration!D83</f>
        <v>0</v>
      </c>
      <c r="C59" s="89" t="str">
        <f t="shared" ca="1" si="10"/>
        <v>Answer if you request your suppliers to fill out this Conflict Minerals Reporting Template on Declaration tab cell D83</v>
      </c>
      <c r="D59" s="95" t="str">
        <f>IF(H59=1,"Click here to answer question (E)","")</f>
        <v>Click here to answer question (E)</v>
      </c>
      <c r="E59" s="20" t="s">
        <v>1273</v>
      </c>
      <c r="F59" s="94">
        <f>F$54</f>
        <v>1</v>
      </c>
      <c r="G59" s="70">
        <f>IF(B59=0,1,0)</f>
        <v>1</v>
      </c>
      <c r="H59" s="71">
        <f t="shared" si="11"/>
        <v>1</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f>Declaration!D85</f>
        <v>0</v>
      </c>
      <c r="C60" s="89" t="str">
        <f t="shared" ca="1" si="10"/>
        <v>Answer if you verify responses from your suppliers against your company's expectations on Declaration tab cell D85</v>
      </c>
      <c r="D60" s="95" t="str">
        <f>IF(H60=1,"Click here to answer question (F)","")</f>
        <v>Click here to answer question (F)</v>
      </c>
      <c r="E60" s="20" t="s">
        <v>1273</v>
      </c>
      <c r="F60" s="94">
        <f>F$54</f>
        <v>1</v>
      </c>
      <c r="G60" s="70">
        <f>IF(B60=0,1,0)</f>
        <v>1</v>
      </c>
      <c r="H60" s="71">
        <f t="shared" si="11"/>
        <v>1</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f>Declaration!D87</f>
        <v>0</v>
      </c>
      <c r="C62" s="89" t="str">
        <f t="shared" ref="C62:C68" ca="1" si="13">IF(H62=1,J62,I62)</f>
        <v>Answer if your verification process includes corrective action management on Declaration tab cell D87</v>
      </c>
      <c r="D62" s="95" t="str">
        <f>IF(H62=1,"Click here to answer question (G)","")</f>
        <v>Click here to answer question (G)</v>
      </c>
      <c r="E62" s="20" t="s">
        <v>1273</v>
      </c>
      <c r="F62" s="94">
        <f>F$54</f>
        <v>1</v>
      </c>
      <c r="G62" s="70">
        <f>IF(B62=0,1,0)</f>
        <v>1</v>
      </c>
      <c r="H62" s="71">
        <f t="shared" ref="H62:H69" si="14">F62*G62</f>
        <v>1</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f>Declaration!D89</f>
        <v>0</v>
      </c>
      <c r="C63" s="89" t="str">
        <f t="shared" ca="1" si="13"/>
        <v>Answer if you are subject to the SEC Disclosure requirement, the EU regulation or both on Declaration tab cell D89</v>
      </c>
      <c r="D63" s="95" t="str">
        <f>IF(H63=1,"Click here to answer question (H)","")</f>
        <v>Click here to answer question (H)</v>
      </c>
      <c r="E63" s="20" t="s">
        <v>1273</v>
      </c>
      <c r="F63" s="94">
        <f>F$54</f>
        <v>1</v>
      </c>
      <c r="G63" s="70">
        <f>IF(B63=0,1,0)</f>
        <v>1</v>
      </c>
      <c r="H63" s="71">
        <f t="shared" si="14"/>
        <v>1</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14996</v>
      </c>
      <c r="B65" s="89"/>
      <c r="C65" s="89" t="str">
        <f t="shared" ca="1" si="13"/>
        <v>Provide list of tantalum smelters contributing material to supply chain on Smelter List tab</v>
      </c>
      <c r="D65" s="95" t="str">
        <f>IF(H65=0,"","Click here to provide smelter information")</f>
        <v>Click here to provide smelter information</v>
      </c>
      <c r="E65" s="20" t="s">
        <v>1273</v>
      </c>
      <c r="F65" s="94">
        <f>F24</f>
        <v>1</v>
      </c>
      <c r="G65" s="70">
        <f>IF(AND(COUNTIF(SmelterIdetifiedForMetal,"Tantalum")&gt;0,COUNTIF('Smelter List'!AB$5:AB$2504,"Tantalum?*")&gt;0),0,1)</f>
        <v>1</v>
      </c>
      <c r="H65" s="71">
        <f t="shared" si="14"/>
        <v>1</v>
      </c>
      <c r="I65" s="147" t="str">
        <f ca="1">OFFSET(L!$C$1,MATCH("Checker"&amp;"Comp",L!$A:$A,0)-1,SL,,)</f>
        <v>Complete</v>
      </c>
      <c r="J65" s="19" t="str">
        <f ca="1">OFFSET(L!$C$1,MATCH("Checker"&amp;ADDRESS(ROW(),COLUMN(),4),L!$A:$A,0)-1,SL,,)</f>
        <v>Provide list of tantalum smelters contributing material to supply chain on Smelter List tab</v>
      </c>
      <c r="K65" s="154">
        <f>IF(H14+H19&gt;0,1,0)</f>
        <v>1</v>
      </c>
      <c r="L65" s="19" t="e">
        <f ca="1">OFFSET(L!$C$1,MATCH("Checker"&amp;ADDRESS(ROW(),COLUMN(),4),L!$A:$A,0)-1,SL,,)</f>
        <v>#N/A</v>
      </c>
    </row>
    <row r="66" spans="1:12" ht="41">
      <c r="A66" s="89" t="s">
        <v>1806</v>
      </c>
      <c r="B66" s="89"/>
      <c r="C66" s="89" t="str">
        <f t="shared" ca="1" si="13"/>
        <v>Provide list of tin smelters contributing material to supply chain on Smelter List tab</v>
      </c>
      <c r="D66" s="95" t="str">
        <f>IF(H66=0,"","Click here to provide smelter information")</f>
        <v>Click here to provide smelter information</v>
      </c>
      <c r="E66" s="20" t="s">
        <v>780</v>
      </c>
      <c r="F66" s="94">
        <f>F25</f>
        <v>1</v>
      </c>
      <c r="G66" s="70">
        <f>IF(AND(COUNTIF(SmelterIdetifiedForMetal,"Tin")&gt;0,COUNTIF('Smelter List'!AB$5:AB$2504,"Tin?*")&gt;0),0,1)</f>
        <v>1</v>
      </c>
      <c r="H66" s="71">
        <f t="shared" si="14"/>
        <v>1</v>
      </c>
      <c r="I66" s="147" t="str">
        <f ca="1">OFFSET(L!$C$1,MATCH("Checker"&amp;"Comp",L!$A:$A,0)-1,SL,,)</f>
        <v>Complete</v>
      </c>
      <c r="J66" s="19" t="str">
        <f ca="1">OFFSET(L!$C$1,MATCH("Checker"&amp;ADDRESS(ROW(),COLUMN(),4),L!$A:$A,0)-1,SL,,)</f>
        <v>Provide list of tin smelters contributing material to supply chain on Smelter List tab</v>
      </c>
      <c r="K66" s="154">
        <f>IF(H15+H20&gt;0,1,0)</f>
        <v>1</v>
      </c>
      <c r="L66" s="19" t="e">
        <f ca="1">OFFSET(L!$C$1,MATCH("Checker"&amp;ADDRESS(ROW(),COLUMN(),4),L!$A:$A,0)-1,SL,,)</f>
        <v>#N/A</v>
      </c>
    </row>
    <row r="67" spans="1:12" ht="41">
      <c r="A67" s="89" t="s">
        <v>1807</v>
      </c>
      <c r="B67" s="89"/>
      <c r="C67" s="89" t="str">
        <f t="shared" ca="1" si="13"/>
        <v>Provide list of gold smelters contributing material to supply chain on Smelter List tab</v>
      </c>
      <c r="D67" s="95" t="str">
        <f>IF(H67=0,"","Click here to provide smelter information")</f>
        <v>Click here to provide smelter information</v>
      </c>
      <c r="E67" s="20" t="s">
        <v>780</v>
      </c>
      <c r="F67" s="94">
        <f>F26</f>
        <v>1</v>
      </c>
      <c r="G67" s="70">
        <f>IF(AND(COUNTIF(SmelterIdetifiedForMetal,"Gold")&gt;0,COUNTIF('Smelter List'!AB$5:AB$2504,"Gold?*")&gt;0),0,1)</f>
        <v>1</v>
      </c>
      <c r="H67" s="71">
        <f t="shared" si="14"/>
        <v>1</v>
      </c>
      <c r="I67" s="147" t="str">
        <f ca="1">OFFSET(L!$C$1,MATCH("Checker"&amp;"Comp",L!$A:$A,0)-1,SL,,)</f>
        <v>Complete</v>
      </c>
      <c r="J67" s="19" t="str">
        <f ca="1">OFFSET(L!$C$1,MATCH("Checker"&amp;ADDRESS(ROW(),COLUMN(),4),L!$A:$A,0)-1,SL,,)</f>
        <v>Provide list of gold smelters contributing material to supply chain on Smelter List tab</v>
      </c>
      <c r="K67" s="154">
        <f>IF(H16+H21&gt;0,1,0)</f>
        <v>1</v>
      </c>
      <c r="L67" s="19" t="e">
        <f ca="1">OFFSET(L!$C$1,MATCH("Checker"&amp;ADDRESS(ROW(),COLUMN(),4),L!$A:$A,0)-1,SL,,)</f>
        <v>#N/A</v>
      </c>
    </row>
    <row r="68" spans="1:12" ht="41">
      <c r="A68" s="89" t="s">
        <v>1808</v>
      </c>
      <c r="B68" s="89"/>
      <c r="C68" s="89" t="str">
        <f t="shared" ca="1" si="13"/>
        <v>Provide list of tungsten smelters contributing material to supply chain on Smelter List tab</v>
      </c>
      <c r="D68" s="95" t="str">
        <f>IF(H68=0,"","Click here to provide smelter information")</f>
        <v>Click here to provide smelter information</v>
      </c>
      <c r="E68" s="20" t="s">
        <v>780</v>
      </c>
      <c r="F68" s="94">
        <f>F27</f>
        <v>1</v>
      </c>
      <c r="G68" s="70">
        <f>IF(AND(COUNTIF(SmelterIdetifiedForMetal,"Tungsten")&gt;0,COUNTIF('Smelter List'!AB$5:AB$2504,"Tungsten?*")&gt;0),0,1)</f>
        <v>1</v>
      </c>
      <c r="H68" s="71">
        <f t="shared" si="14"/>
        <v>1</v>
      </c>
      <c r="I68" s="147" t="str">
        <f ca="1">OFFSET(L!$C$1,MATCH("Checker"&amp;"Comp",L!$A:$A,0)-1,SL,,)</f>
        <v>Complete</v>
      </c>
      <c r="J68" s="19" t="str">
        <f ca="1">OFFSET(L!$C$1,MATCH("Checker"&amp;ADDRESS(ROW(),COLUMN(),4),L!$A:$A,0)-1,SL,,)</f>
        <v>Provide list of tungsten smelters contributing material to supply chain on Smelter List tab</v>
      </c>
      <c r="K68" s="154">
        <f>IF(H17+H22&gt;0,1,0)</f>
        <v>1</v>
      </c>
      <c r="L68" s="19" t="e">
        <f ca="1">OFFSET(L!$C$1,MATCH("Checker"&amp;ADDRESS(ROW(),COLUMN(),4),L!$A:$A,0)-1,SL,,)</f>
        <v>#N/A</v>
      </c>
    </row>
    <row r="69" spans="1:12" ht="27">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52</v>
      </c>
    </row>
    <row r="73" spans="1:12" ht="14"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2"/>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25"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395" t="str">
        <f ca="1">OFFSET(L!$C$1,MATCH("Product List"&amp;ADDRESS(ROW(),COLUMN(),4),L!$A:$A,0)-1,SL,,)</f>
        <v>Completion required only if reporting level "Product (or List of Products)" selected on the 'Declaration' worksheet.</v>
      </c>
      <c r="B1" s="396"/>
      <c r="C1" s="396"/>
      <c r="D1" s="396"/>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4" t="s">
        <v>869</v>
      </c>
      <c r="C4" s="394"/>
      <c r="D4" s="394"/>
      <c r="E4" s="24"/>
      <c r="F4"/>
    </row>
    <row r="5" spans="1:6" s="21" customFormat="1" ht="1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7" t="str">
        <f ca="1">OFFSET(L!$C$1,MATCH("General"&amp;"Cpy",L!$A:$A,0)-1,SL,,)</f>
        <v>© 2025 Responsible Minerals Initiative. All rights reserved.</v>
      </c>
      <c r="C2006" s="397"/>
      <c r="D2006" s="397"/>
      <c r="E2006" s="279"/>
    </row>
    <row r="2007" spans="1:5" ht="14"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2"/>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69140625" style="189" hidden="1" customWidth="1"/>
    <col min="12" max="16384" width="8.84375" style="189"/>
  </cols>
  <sheetData>
    <row r="1" spans="1:11" ht="168.65" customHeight="1">
      <c r="A1" s="39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8"/>
      <c r="C1" s="398"/>
      <c r="D1" s="398"/>
      <c r="E1" s="398"/>
      <c r="F1" s="398"/>
      <c r="G1" s="398"/>
    </row>
    <row r="2" spans="1:11">
      <c r="A2" s="399"/>
      <c r="B2" s="399"/>
      <c r="C2" s="399"/>
      <c r="D2" s="399"/>
      <c r="E2" s="399"/>
      <c r="F2" s="399"/>
      <c r="G2" s="399"/>
      <c r="H2" s="399"/>
      <c r="I2" s="399"/>
    </row>
    <row r="3" spans="1:11">
      <c r="A3" s="399"/>
      <c r="B3" s="399"/>
      <c r="C3" s="399"/>
      <c r="D3" s="399"/>
      <c r="E3" s="399"/>
      <c r="F3" s="399"/>
      <c r="G3" s="399"/>
      <c r="H3" s="399"/>
      <c r="I3" s="399"/>
    </row>
    <row r="4" spans="1:11" s="192" customFormat="1" ht="27">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2"/>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69140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1">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37.5">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0.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7">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40.5">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0.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0.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0.5">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67.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27">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81">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7">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67.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0.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0.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48.5">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1.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40.5">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377">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38">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16">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04">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0.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58">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94.5">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08">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01.5">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351">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03">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188.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87">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0.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7">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87">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67.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4">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30.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67.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81">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08">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67.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3.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3.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4">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24">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81">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62">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189">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04">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40.5">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189">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27">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297">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48.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35">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297">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94.5">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40.5">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7">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81">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7">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0.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7">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7">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7">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7">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7">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7">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7">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7">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7">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7">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1">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89">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21.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48.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67.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3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08">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3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29.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08">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1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0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7">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67.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7">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35">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08">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256.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43">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7">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3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81">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02.5">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189">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175.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7">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7">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40.5">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43.5">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4">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7">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7">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7">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7">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7">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7">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27">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29">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14.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40.5">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40.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0.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29">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29">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40.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7">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7">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67.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4">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27">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29">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40.5">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7">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29">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14.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14.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14.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14.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14.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14.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14.5">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14.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14.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7">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7">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7">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7">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7">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7">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7">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0.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0.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4">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27">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0.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6">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4">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7">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27">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7">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7">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7">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7">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0.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40.5">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27">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0.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0.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27">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0.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4">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4">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4">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4">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67.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67.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67.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67.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54">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54">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54">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54">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54">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54">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54">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54">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40.5">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4">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4">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4">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0.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0.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0.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0.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4">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54">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4">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4.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40.5">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40.5">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0.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40.5">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40.5">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40.5">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7">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1">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7">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7">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67.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7">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27">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67.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2"/>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honeticPr fontId="102"/>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69140625" customWidth="1"/>
    <col min="3" max="3" width="11.92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honeticPr fontId="102"/>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隆宏 志賀</cp:lastModifiedBy>
  <cp:lastPrinted>2015-04-21T20:47:43Z</cp:lastPrinted>
  <dcterms:created xsi:type="dcterms:W3CDTF">2010-06-21T21:00:23Z</dcterms:created>
  <dcterms:modified xsi:type="dcterms:W3CDTF">2025-06-27T02:00:54Z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